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T:\FB3\3.390\Klimaleitstelle\12_KS\02-2_Energie\02_Erneuerbare Energien\Photovoltaik\Parkplätze\Auftrag Hannes\"/>
    </mc:Choice>
  </mc:AlternateContent>
  <bookViews>
    <workbookView xWindow="0" yWindow="0" windowWidth="2370" windowHeight="0"/>
  </bookViews>
  <sheets>
    <sheet name="Tabelle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56" i="1" l="1"/>
  <c r="V154" i="1"/>
  <c r="V153" i="1"/>
  <c r="AE53" i="1"/>
  <c r="K10" i="1"/>
  <c r="K44" i="1"/>
  <c r="K42" i="1"/>
  <c r="K49" i="1"/>
  <c r="L133" i="1"/>
  <c r="B96" i="1" l="1"/>
  <c r="B95" i="1"/>
  <c r="U36" i="1"/>
  <c r="U35" i="1"/>
  <c r="O13" i="1"/>
  <c r="N13" i="1"/>
  <c r="M13" i="1"/>
  <c r="L13" i="1"/>
  <c r="K54" i="1" s="1"/>
  <c r="E80" i="1" s="1"/>
  <c r="K13" i="1"/>
  <c r="B77" i="1"/>
  <c r="E73" i="1"/>
  <c r="K65" i="1" l="1"/>
  <c r="B97" i="1" s="1"/>
  <c r="O76" i="1" s="1"/>
  <c r="K53" i="1"/>
  <c r="B80" i="1" s="1"/>
  <c r="K129" i="1"/>
  <c r="E112" i="1" s="1"/>
  <c r="M79" i="1"/>
  <c r="M83" i="1"/>
  <c r="M87" i="1"/>
  <c r="M91" i="1"/>
  <c r="M76" i="1"/>
  <c r="M80" i="1"/>
  <c r="M84" i="1"/>
  <c r="M88" i="1"/>
  <c r="M92" i="1"/>
  <c r="M96" i="1"/>
  <c r="M100" i="1"/>
  <c r="M104" i="1"/>
  <c r="M108" i="1"/>
  <c r="M112" i="1"/>
  <c r="M116" i="1"/>
  <c r="M120" i="1"/>
  <c r="M124" i="1"/>
  <c r="M81" i="1"/>
  <c r="M89" i="1"/>
  <c r="M95" i="1"/>
  <c r="M101" i="1"/>
  <c r="M106" i="1"/>
  <c r="M111" i="1"/>
  <c r="M117" i="1"/>
  <c r="M122" i="1"/>
  <c r="M102" i="1"/>
  <c r="M113" i="1"/>
  <c r="M123" i="1"/>
  <c r="M77" i="1"/>
  <c r="M103" i="1"/>
  <c r="M119" i="1"/>
  <c r="M86" i="1"/>
  <c r="M99" i="1"/>
  <c r="M110" i="1"/>
  <c r="M121" i="1"/>
  <c r="M82" i="1"/>
  <c r="M90" i="1"/>
  <c r="M97" i="1"/>
  <c r="M107" i="1"/>
  <c r="M118" i="1"/>
  <c r="M93" i="1"/>
  <c r="M114" i="1"/>
  <c r="M85" i="1"/>
  <c r="M98" i="1"/>
  <c r="M109" i="1"/>
  <c r="M125" i="1"/>
  <c r="M78" i="1"/>
  <c r="M94" i="1"/>
  <c r="M105" i="1"/>
  <c r="M115" i="1"/>
  <c r="M75" i="1"/>
  <c r="K33" i="1"/>
  <c r="B57" i="1" s="1"/>
  <c r="K43" i="1"/>
  <c r="K41" i="1"/>
  <c r="B31" i="1"/>
  <c r="K40" i="1"/>
  <c r="E58" i="1" s="1"/>
  <c r="K70" i="1" s="1"/>
  <c r="B107" i="1" s="1"/>
  <c r="L139" i="1" s="1"/>
  <c r="K31" i="1"/>
  <c r="B112" i="1" l="1"/>
  <c r="O114" i="1"/>
  <c r="K131" i="1"/>
  <c r="E114" i="1" s="1"/>
  <c r="O78" i="1"/>
  <c r="O123" i="1"/>
  <c r="O97" i="1"/>
  <c r="O91" i="1"/>
  <c r="O110" i="1"/>
  <c r="O93" i="1"/>
  <c r="O95" i="1"/>
  <c r="O82" i="1"/>
  <c r="O111" i="1"/>
  <c r="O79" i="1"/>
  <c r="O98" i="1"/>
  <c r="O117" i="1"/>
  <c r="O124" i="1"/>
  <c r="O107" i="1"/>
  <c r="O75" i="1"/>
  <c r="B114" i="1" s="1"/>
  <c r="O94" i="1"/>
  <c r="O113" i="1"/>
  <c r="O112" i="1"/>
  <c r="O119" i="1"/>
  <c r="O103" i="1"/>
  <c r="O87" i="1"/>
  <c r="O122" i="1"/>
  <c r="O106" i="1"/>
  <c r="O90" i="1"/>
  <c r="O125" i="1"/>
  <c r="O109" i="1"/>
  <c r="O81" i="1"/>
  <c r="O108" i="1"/>
  <c r="O115" i="1"/>
  <c r="O99" i="1"/>
  <c r="O83" i="1"/>
  <c r="O118" i="1"/>
  <c r="O102" i="1"/>
  <c r="O86" i="1"/>
  <c r="O121" i="1"/>
  <c r="O105" i="1"/>
  <c r="O77" i="1"/>
  <c r="O92" i="1"/>
  <c r="O89" i="1"/>
  <c r="O116" i="1"/>
  <c r="O88" i="1"/>
  <c r="O101" i="1"/>
  <c r="O85" i="1"/>
  <c r="O120" i="1"/>
  <c r="O104" i="1"/>
  <c r="O84" i="1"/>
  <c r="O100" i="1"/>
  <c r="O96" i="1"/>
  <c r="O80" i="1"/>
  <c r="E64" i="1"/>
  <c r="K71" i="1" s="1"/>
  <c r="B108" i="1" s="1"/>
  <c r="L140" i="1" s="1"/>
  <c r="AE38" i="1"/>
  <c r="AE35" i="1"/>
  <c r="AE36" i="1"/>
  <c r="AE34" i="1"/>
  <c r="AE33" i="1"/>
  <c r="AE31" i="1"/>
  <c r="AP15" i="1"/>
  <c r="AP14" i="1"/>
  <c r="K22" i="1"/>
  <c r="B37" i="1" s="1"/>
  <c r="M139" i="1" l="1"/>
  <c r="AE44" i="1"/>
  <c r="AE46" i="1"/>
  <c r="AE45" i="1"/>
  <c r="AE48" i="1"/>
  <c r="AE47" i="1"/>
  <c r="AL62" i="1" l="1"/>
  <c r="AL77" i="1" s="1"/>
  <c r="AJ62" i="1"/>
  <c r="AJ77" i="1" s="1"/>
  <c r="AM62" i="1"/>
  <c r="AM77" i="1" s="1"/>
  <c r="AK62" i="1"/>
  <c r="AK77" i="1" s="1"/>
  <c r="AE62" i="1"/>
  <c r="AE77" i="1" s="1"/>
  <c r="AO62" i="1"/>
  <c r="AO77" i="1" s="1"/>
  <c r="AF62" i="1"/>
  <c r="AF77" i="1" s="1"/>
  <c r="AH62" i="1"/>
  <c r="AH77" i="1" s="1"/>
  <c r="AD62" i="1"/>
  <c r="AD77" i="1" s="1"/>
  <c r="AI62" i="1"/>
  <c r="AI77" i="1" s="1"/>
  <c r="AN62" i="1"/>
  <c r="AN77" i="1" s="1"/>
  <c r="AG62" i="1"/>
  <c r="AG77" i="1" s="1"/>
  <c r="U19" i="1"/>
  <c r="W158" i="1" l="1"/>
  <c r="W155" i="1"/>
  <c r="W154" i="1"/>
  <c r="W153" i="1"/>
  <c r="T155" i="1"/>
  <c r="V155" i="1" s="1"/>
  <c r="V157" i="1"/>
  <c r="V158" i="1"/>
  <c r="P156" i="1"/>
  <c r="R159" i="1" s="1"/>
  <c r="P155" i="1"/>
  <c r="R166" i="1" l="1"/>
  <c r="R156" i="1"/>
  <c r="R170" i="1"/>
  <c r="R162" i="1"/>
  <c r="R158" i="1"/>
  <c r="R153" i="1"/>
  <c r="R173" i="1"/>
  <c r="R169" i="1"/>
  <c r="R165" i="1"/>
  <c r="R161" i="1"/>
  <c r="R157" i="1"/>
  <c r="R155" i="1"/>
  <c r="R172" i="1"/>
  <c r="R168" i="1"/>
  <c r="R164" i="1"/>
  <c r="R160" i="1"/>
  <c r="R154" i="1"/>
  <c r="R171" i="1"/>
  <c r="R167" i="1"/>
  <c r="R163" i="1"/>
  <c r="K11" i="1" l="1"/>
  <c r="E17" i="1" s="1"/>
  <c r="E16" i="1"/>
  <c r="K9" i="1"/>
  <c r="B17" i="1" s="1"/>
  <c r="K34" i="1" s="1"/>
  <c r="B58" i="1" s="1"/>
  <c r="E8" i="1"/>
  <c r="K47" i="1" l="1"/>
  <c r="K17" i="1"/>
  <c r="K18" i="1" s="1"/>
  <c r="E25" i="1" l="1"/>
  <c r="B25" i="1"/>
  <c r="K39" i="1" l="1"/>
  <c r="K37" i="1"/>
  <c r="E107" i="1"/>
  <c r="K19" i="1"/>
  <c r="E26" i="1" s="1"/>
  <c r="E109" i="1" s="1"/>
  <c r="K52" i="1"/>
  <c r="B78" i="1" s="1"/>
  <c r="K35" i="1"/>
  <c r="B64" i="1" l="1"/>
  <c r="K69" i="1" s="1"/>
  <c r="B106" i="1" s="1"/>
  <c r="L138" i="1" s="1"/>
  <c r="K55" i="1"/>
  <c r="K48" i="1"/>
  <c r="B73" i="1" s="1"/>
  <c r="AE8" i="1"/>
  <c r="AD16" i="1" s="1"/>
  <c r="K56" i="1"/>
  <c r="K57" i="1"/>
  <c r="B109" i="1" l="1"/>
  <c r="L80" i="1"/>
  <c r="L96" i="1"/>
  <c r="L112" i="1"/>
  <c r="L113" i="1"/>
  <c r="L78" i="1"/>
  <c r="L94" i="1"/>
  <c r="L110" i="1"/>
  <c r="L76" i="1"/>
  <c r="L91" i="1"/>
  <c r="L107" i="1"/>
  <c r="L77" i="1"/>
  <c r="L93" i="1"/>
  <c r="L109" i="1"/>
  <c r="L84" i="1"/>
  <c r="L100" i="1"/>
  <c r="L116" i="1"/>
  <c r="L117" i="1"/>
  <c r="L82" i="1"/>
  <c r="L98" i="1"/>
  <c r="L114" i="1"/>
  <c r="L79" i="1"/>
  <c r="L95" i="1"/>
  <c r="L111" i="1"/>
  <c r="L81" i="1"/>
  <c r="L97" i="1"/>
  <c r="L123" i="1"/>
  <c r="L75" i="1"/>
  <c r="B111" i="1" s="1"/>
  <c r="B116" i="1" s="1"/>
  <c r="L88" i="1"/>
  <c r="L104" i="1"/>
  <c r="L120" i="1"/>
  <c r="L121" i="1"/>
  <c r="L86" i="1"/>
  <c r="L102" i="1"/>
  <c r="L118" i="1"/>
  <c r="L83" i="1"/>
  <c r="L99" i="1"/>
  <c r="L115" i="1"/>
  <c r="L85" i="1"/>
  <c r="L101" i="1"/>
  <c r="K128" i="1"/>
  <c r="E111" i="1" s="1"/>
  <c r="E116" i="1" s="1"/>
  <c r="L92" i="1"/>
  <c r="L108" i="1"/>
  <c r="L124" i="1"/>
  <c r="L125" i="1"/>
  <c r="L90" i="1"/>
  <c r="L106" i="1"/>
  <c r="L122" i="1"/>
  <c r="L87" i="1"/>
  <c r="L103" i="1"/>
  <c r="L119" i="1"/>
  <c r="L89" i="1"/>
  <c r="L105" i="1"/>
  <c r="K58" i="1"/>
  <c r="B85" i="1" s="1"/>
  <c r="AP16" i="1"/>
  <c r="AE16" i="1"/>
  <c r="AJ16" i="1"/>
  <c r="AO16" i="1"/>
  <c r="AH16" i="1"/>
  <c r="AI16" i="1"/>
  <c r="AE52" i="1" s="1"/>
  <c r="K25" i="1" s="1"/>
  <c r="AN16" i="1"/>
  <c r="AL16" i="1"/>
  <c r="AM16" i="1"/>
  <c r="AG16" i="1"/>
  <c r="AF16" i="1"/>
  <c r="AK16" i="1"/>
  <c r="AG19" i="1" l="1"/>
  <c r="AG25" i="1"/>
  <c r="AG21" i="1"/>
  <c r="AG24" i="1"/>
  <c r="AG26" i="1"/>
  <c r="AG20" i="1"/>
  <c r="AI19" i="1"/>
  <c r="AI24" i="1"/>
  <c r="AI21" i="1"/>
  <c r="AI25" i="1"/>
  <c r="AI26" i="1"/>
  <c r="AI20" i="1"/>
  <c r="AE26" i="1"/>
  <c r="AE24" i="1"/>
  <c r="AE19" i="1"/>
  <c r="AE20" i="1"/>
  <c r="AE21" i="1"/>
  <c r="AE25" i="1"/>
  <c r="AK25" i="1"/>
  <c r="AK21" i="1"/>
  <c r="AK20" i="1"/>
  <c r="AK26" i="1"/>
  <c r="AK24" i="1"/>
  <c r="AK19" i="1"/>
  <c r="AM24" i="1"/>
  <c r="AM26" i="1"/>
  <c r="AM25" i="1"/>
  <c r="AM19" i="1"/>
  <c r="AM20" i="1"/>
  <c r="AM21" i="1"/>
  <c r="AH24" i="1"/>
  <c r="AH26" i="1"/>
  <c r="AH21" i="1"/>
  <c r="AH19" i="1"/>
  <c r="AH25" i="1"/>
  <c r="AH20" i="1"/>
  <c r="AP20" i="1"/>
  <c r="AP19" i="1"/>
  <c r="AP21" i="1"/>
  <c r="AP24" i="1"/>
  <c r="AP25" i="1"/>
  <c r="AP26" i="1"/>
  <c r="AF19" i="1"/>
  <c r="AF26" i="1"/>
  <c r="AF24" i="1"/>
  <c r="AF21" i="1"/>
  <c r="AF20" i="1"/>
  <c r="AF25" i="1"/>
  <c r="AL26" i="1"/>
  <c r="AL19" i="1"/>
  <c r="AL21" i="1"/>
  <c r="AL20" i="1"/>
  <c r="AL25" i="1"/>
  <c r="AL24" i="1"/>
  <c r="AL59" i="1" s="1"/>
  <c r="AL81" i="1" s="1"/>
  <c r="AO26" i="1"/>
  <c r="AO24" i="1"/>
  <c r="AO19" i="1"/>
  <c r="AO25" i="1"/>
  <c r="AO21" i="1"/>
  <c r="AO20" i="1"/>
  <c r="AD25" i="1"/>
  <c r="AD24" i="1"/>
  <c r="AD19" i="1"/>
  <c r="AD26" i="1"/>
  <c r="AD21" i="1"/>
  <c r="AD20" i="1"/>
  <c r="AN19" i="1"/>
  <c r="AN21" i="1"/>
  <c r="AN24" i="1"/>
  <c r="AN20" i="1"/>
  <c r="AN25" i="1"/>
  <c r="AN26" i="1"/>
  <c r="AJ25" i="1"/>
  <c r="AJ21" i="1"/>
  <c r="AJ20" i="1"/>
  <c r="AJ26" i="1"/>
  <c r="AJ24" i="1"/>
  <c r="AJ19" i="1"/>
  <c r="AN61" i="1" l="1"/>
  <c r="AN71" i="1" s="1"/>
  <c r="AF60" i="1"/>
  <c r="AF69" i="1" s="1"/>
  <c r="AI59" i="1"/>
  <c r="AI81" i="1" s="1"/>
  <c r="AJ61" i="1"/>
  <c r="AD61" i="1"/>
  <c r="AO59" i="1"/>
  <c r="AO81" i="1" s="1"/>
  <c r="AF61" i="1"/>
  <c r="AH61" i="1"/>
  <c r="AG59" i="1"/>
  <c r="AN60" i="1"/>
  <c r="AO61" i="1"/>
  <c r="AO71" i="1" s="1"/>
  <c r="AH59" i="1"/>
  <c r="AH81" i="1" s="1"/>
  <c r="AM60" i="1"/>
  <c r="AK60" i="1"/>
  <c r="AK66" i="1" s="1"/>
  <c r="AK67" i="1" s="1"/>
  <c r="AI61" i="1"/>
  <c r="AI71" i="1" s="1"/>
  <c r="AH60" i="1"/>
  <c r="AH66" i="1" s="1"/>
  <c r="AH67" i="1" s="1"/>
  <c r="AK59" i="1"/>
  <c r="AK81" i="1" s="1"/>
  <c r="AD59" i="1"/>
  <c r="AD81" i="1" s="1"/>
  <c r="AO60" i="1"/>
  <c r="AM61" i="1"/>
  <c r="AM71" i="1" s="1"/>
  <c r="AK61" i="1"/>
  <c r="AE60" i="1"/>
  <c r="AE66" i="1" s="1"/>
  <c r="AE67" i="1" s="1"/>
  <c r="AE59" i="1"/>
  <c r="AI60" i="1"/>
  <c r="AI66" i="1" s="1"/>
  <c r="AI67" i="1" s="1"/>
  <c r="AG60" i="1"/>
  <c r="AG66" i="1" s="1"/>
  <c r="AG67" i="1" s="1"/>
  <c r="AJ59" i="1"/>
  <c r="AJ81" i="1" s="1"/>
  <c r="AJ60" i="1"/>
  <c r="AN59" i="1"/>
  <c r="AD60" i="1"/>
  <c r="AL60" i="1"/>
  <c r="AL66" i="1" s="1"/>
  <c r="AL67" i="1" s="1"/>
  <c r="AL61" i="1"/>
  <c r="AL71" i="1" s="1"/>
  <c r="AF59" i="1"/>
  <c r="AF81" i="1" s="1"/>
  <c r="AM59" i="1"/>
  <c r="AM81" i="1" s="1"/>
  <c r="AE61" i="1"/>
  <c r="AG61" i="1"/>
  <c r="AG71" i="1" s="1"/>
  <c r="AL82" i="1"/>
  <c r="AN72" i="1" l="1"/>
  <c r="AH64" i="1"/>
  <c r="AI82" i="1"/>
  <c r="AD66" i="1"/>
  <c r="AD67" i="1" s="1"/>
  <c r="AD69" i="1"/>
  <c r="AK72" i="1"/>
  <c r="AK71" i="1"/>
  <c r="AM69" i="1"/>
  <c r="AM66" i="1"/>
  <c r="AM67" i="1" s="1"/>
  <c r="AG82" i="1"/>
  <c r="AG81" i="1"/>
  <c r="AD71" i="1"/>
  <c r="AD72" i="1"/>
  <c r="AN82" i="1"/>
  <c r="AN81" i="1"/>
  <c r="AH72" i="1"/>
  <c r="AH71" i="1"/>
  <c r="AJ72" i="1"/>
  <c r="AJ71" i="1"/>
  <c r="AJ69" i="1"/>
  <c r="AJ66" i="1"/>
  <c r="AJ67" i="1" s="1"/>
  <c r="AE82" i="1"/>
  <c r="AE81" i="1"/>
  <c r="AO69" i="1"/>
  <c r="AO66" i="1"/>
  <c r="AO67" i="1" s="1"/>
  <c r="AF72" i="1"/>
  <c r="AF71" i="1"/>
  <c r="AE72" i="1"/>
  <c r="AE71" i="1"/>
  <c r="AN69" i="1"/>
  <c r="AN66" i="1"/>
  <c r="AN67" i="1" s="1"/>
  <c r="AN73" i="1" s="1"/>
  <c r="AF66" i="1"/>
  <c r="AF67" i="1" s="1"/>
  <c r="AI69" i="1"/>
  <c r="AM72" i="1"/>
  <c r="AK69" i="1"/>
  <c r="AH82" i="1"/>
  <c r="AF64" i="1"/>
  <c r="AK68" i="1"/>
  <c r="AO82" i="1"/>
  <c r="AN63" i="1"/>
  <c r="AF63" i="1"/>
  <c r="AI63" i="1"/>
  <c r="AI64" i="1"/>
  <c r="AI72" i="1"/>
  <c r="AI73" i="1" s="1"/>
  <c r="AO72" i="1"/>
  <c r="AM63" i="1"/>
  <c r="AK82" i="1"/>
  <c r="AH63" i="1"/>
  <c r="AH69" i="1"/>
  <c r="AN64" i="1"/>
  <c r="AM82" i="1"/>
  <c r="AF82" i="1"/>
  <c r="AK64" i="1"/>
  <c r="AO64" i="1"/>
  <c r="AE69" i="1"/>
  <c r="AJ64" i="1"/>
  <c r="AL63" i="1"/>
  <c r="AD63" i="1"/>
  <c r="AD82" i="1"/>
  <c r="AM64" i="1"/>
  <c r="AL69" i="1"/>
  <c r="AG69" i="1"/>
  <c r="AE64" i="1"/>
  <c r="AK63" i="1"/>
  <c r="AJ82" i="1"/>
  <c r="AD64" i="1"/>
  <c r="AJ63" i="1"/>
  <c r="AG63" i="1"/>
  <c r="AO63" i="1"/>
  <c r="AL72" i="1"/>
  <c r="AL73" i="1" s="1"/>
  <c r="AG64" i="1"/>
  <c r="AG72" i="1"/>
  <c r="AE63" i="1"/>
  <c r="AL64" i="1"/>
  <c r="AH68" i="1"/>
  <c r="AG68" i="1"/>
  <c r="AJ68" i="1"/>
  <c r="AI68" i="1"/>
  <c r="AE68" i="1"/>
  <c r="AM68" i="1" l="1"/>
  <c r="AF68" i="1"/>
  <c r="AD68" i="1"/>
  <c r="AJ73" i="1"/>
  <c r="AJ74" i="1" s="1"/>
  <c r="AO73" i="1"/>
  <c r="AO74" i="1" s="1"/>
  <c r="AH73" i="1"/>
  <c r="AH75" i="1" s="1"/>
  <c r="AF73" i="1"/>
  <c r="AF78" i="1" s="1"/>
  <c r="AD73" i="1"/>
  <c r="AD75" i="1" s="1"/>
  <c r="AD108" i="1"/>
  <c r="K60" i="1" s="1"/>
  <c r="AD107" i="1"/>
  <c r="K62" i="1" s="1"/>
  <c r="E89" i="1" s="1"/>
  <c r="AM73" i="1"/>
  <c r="AM74" i="1" s="1"/>
  <c r="AK73" i="1"/>
  <c r="AK75" i="1" s="1"/>
  <c r="AN68" i="1"/>
  <c r="AE73" i="1"/>
  <c r="AE75" i="1" s="1"/>
  <c r="AL68" i="1"/>
  <c r="AO68" i="1"/>
  <c r="AG73" i="1"/>
  <c r="AG78" i="1" s="1"/>
  <c r="AN74" i="1"/>
  <c r="AN78" i="1"/>
  <c r="AN75" i="1"/>
  <c r="AI74" i="1"/>
  <c r="AI78" i="1"/>
  <c r="AI75" i="1"/>
  <c r="AL74" i="1"/>
  <c r="AL75" i="1"/>
  <c r="AL78" i="1"/>
  <c r="AH78" i="1" l="1"/>
  <c r="AH83" i="1" s="1"/>
  <c r="AH89" i="1" s="1"/>
  <c r="AJ75" i="1"/>
  <c r="AH74" i="1"/>
  <c r="AJ78" i="1"/>
  <c r="AJ83" i="1" s="1"/>
  <c r="AJ89" i="1" s="1"/>
  <c r="AF74" i="1"/>
  <c r="AO75" i="1"/>
  <c r="AO78" i="1"/>
  <c r="AO83" i="1" s="1"/>
  <c r="AO89" i="1" s="1"/>
  <c r="AD78" i="1"/>
  <c r="AD83" i="1" s="1"/>
  <c r="AD89" i="1" s="1"/>
  <c r="AD74" i="1"/>
  <c r="AF75" i="1"/>
  <c r="AK78" i="1"/>
  <c r="AK79" i="1" s="1"/>
  <c r="AM75" i="1"/>
  <c r="AK74" i="1"/>
  <c r="AM78" i="1"/>
  <c r="AM83" i="1" s="1"/>
  <c r="AM89" i="1" s="1"/>
  <c r="AG75" i="1"/>
  <c r="AE78" i="1"/>
  <c r="AE79" i="1" s="1"/>
  <c r="AE74" i="1"/>
  <c r="AG74" i="1"/>
  <c r="AG83" i="1"/>
  <c r="AG89" i="1" s="1"/>
  <c r="AG79" i="1"/>
  <c r="AF83" i="1"/>
  <c r="AF89" i="1" s="1"/>
  <c r="AF79" i="1"/>
  <c r="AL83" i="1"/>
  <c r="AL89" i="1" s="1"/>
  <c r="AL79" i="1"/>
  <c r="AI83" i="1"/>
  <c r="AI89" i="1" s="1"/>
  <c r="AI79" i="1"/>
  <c r="AN83" i="1"/>
  <c r="AN89" i="1" s="1"/>
  <c r="AN79" i="1"/>
  <c r="AM88" i="1" l="1"/>
  <c r="AI88" i="1"/>
  <c r="AF88" i="1"/>
  <c r="AJ88" i="1"/>
  <c r="AN88" i="1"/>
  <c r="AL88" i="1"/>
  <c r="AG88" i="1"/>
  <c r="AO88" i="1"/>
  <c r="AH88" i="1"/>
  <c r="AH79" i="1"/>
  <c r="AH85" i="1"/>
  <c r="AH84" i="1"/>
  <c r="AH90" i="1" s="1"/>
  <c r="AJ79" i="1"/>
  <c r="AD79" i="1"/>
  <c r="AO79" i="1"/>
  <c r="AK83" i="1"/>
  <c r="AK89" i="1" s="1"/>
  <c r="AE83" i="1"/>
  <c r="AE89" i="1" s="1"/>
  <c r="AM79" i="1"/>
  <c r="AN85" i="1"/>
  <c r="AN91" i="1" s="1"/>
  <c r="AN92" i="1" s="1"/>
  <c r="AN84" i="1"/>
  <c r="AN90" i="1" s="1"/>
  <c r="AL84" i="1"/>
  <c r="AL90" i="1" s="1"/>
  <c r="AL85" i="1"/>
  <c r="AL91" i="1" s="1"/>
  <c r="AL92" i="1" s="1"/>
  <c r="AO84" i="1"/>
  <c r="AO90" i="1" s="1"/>
  <c r="AO85" i="1"/>
  <c r="AF84" i="1"/>
  <c r="AF90" i="1" s="1"/>
  <c r="AF85" i="1"/>
  <c r="AF91" i="1" s="1"/>
  <c r="AF92" i="1" s="1"/>
  <c r="AM84" i="1"/>
  <c r="AM90" i="1" s="1"/>
  <c r="AM85" i="1"/>
  <c r="AI84" i="1"/>
  <c r="AI90" i="1" s="1"/>
  <c r="AI85" i="1"/>
  <c r="AI91" i="1" s="1"/>
  <c r="AI92" i="1" s="1"/>
  <c r="AJ84" i="1"/>
  <c r="AJ90" i="1" s="1"/>
  <c r="AJ85" i="1"/>
  <c r="AD88" i="1"/>
  <c r="AD85" i="1"/>
  <c r="AD84" i="1"/>
  <c r="AD90" i="1" s="1"/>
  <c r="AG84" i="1"/>
  <c r="AG90" i="1" s="1"/>
  <c r="AG85" i="1"/>
  <c r="AG91" i="1" s="1"/>
  <c r="AG92" i="1" s="1"/>
  <c r="AE88" i="1" l="1"/>
  <c r="AK88" i="1"/>
  <c r="AH91" i="1"/>
  <c r="AH92" i="1" s="1"/>
  <c r="AD91" i="1"/>
  <c r="AD92" i="1" s="1"/>
  <c r="AJ91" i="1"/>
  <c r="AJ92" i="1" s="1"/>
  <c r="AK84" i="1"/>
  <c r="AK90" i="1" s="1"/>
  <c r="AK85" i="1"/>
  <c r="AK91" i="1" s="1"/>
  <c r="AK92" i="1" s="1"/>
  <c r="AO91" i="1"/>
  <c r="AO92" i="1" s="1"/>
  <c r="AE85" i="1"/>
  <c r="AE91" i="1" s="1"/>
  <c r="AE92" i="1" s="1"/>
  <c r="AE84" i="1"/>
  <c r="AE90" i="1" s="1"/>
  <c r="AM91" i="1"/>
  <c r="AM92" i="1" s="1"/>
  <c r="AD95" i="1" l="1"/>
  <c r="AD97" i="1"/>
  <c r="K61" i="1" s="1"/>
  <c r="B89" i="1" s="1"/>
  <c r="AD96" i="1"/>
  <c r="AD98" i="1"/>
  <c r="AD99" i="1" l="1"/>
  <c r="E42" i="1"/>
  <c r="E41" i="1"/>
  <c r="AD101" i="1"/>
  <c r="E44" i="1" s="1"/>
  <c r="AD104" i="1" l="1"/>
  <c r="E108" i="1" s="1"/>
  <c r="AD100" i="1"/>
  <c r="E43" i="1" s="1"/>
  <c r="E106" i="1" s="1"/>
  <c r="K59" i="1"/>
  <c r="K63" i="1" s="1"/>
  <c r="B90" i="1" s="1"/>
  <c r="E88" i="1"/>
  <c r="K64" i="1"/>
  <c r="E90" i="1" s="1"/>
  <c r="N79" i="1" l="1"/>
  <c r="Q79" i="1" s="1"/>
  <c r="R79" i="1" s="1"/>
  <c r="N95" i="1"/>
  <c r="Q95" i="1" s="1"/>
  <c r="R95" i="1" s="1"/>
  <c r="N111" i="1"/>
  <c r="Q111" i="1" s="1"/>
  <c r="R111" i="1" s="1"/>
  <c r="N125" i="1"/>
  <c r="Q125" i="1" s="1"/>
  <c r="R125" i="1" s="1"/>
  <c r="N114" i="1"/>
  <c r="Q114" i="1" s="1"/>
  <c r="R114" i="1" s="1"/>
  <c r="N84" i="1"/>
  <c r="Q84" i="1" s="1"/>
  <c r="R84" i="1" s="1"/>
  <c r="N100" i="1"/>
  <c r="Q100" i="1" s="1"/>
  <c r="R100" i="1" s="1"/>
  <c r="N116" i="1"/>
  <c r="Q116" i="1" s="1"/>
  <c r="R116" i="1" s="1"/>
  <c r="N82" i="1"/>
  <c r="Q82" i="1" s="1"/>
  <c r="R82" i="1" s="1"/>
  <c r="N122" i="1"/>
  <c r="Q122" i="1" s="1"/>
  <c r="R122" i="1" s="1"/>
  <c r="N89" i="1"/>
  <c r="Q89" i="1" s="1"/>
  <c r="R89" i="1" s="1"/>
  <c r="N105" i="1"/>
  <c r="Q105" i="1" s="1"/>
  <c r="R105" i="1" s="1"/>
  <c r="N86" i="1"/>
  <c r="Q86" i="1" s="1"/>
  <c r="R86" i="1" s="1"/>
  <c r="N103" i="1"/>
  <c r="Q103" i="1" s="1"/>
  <c r="R103" i="1" s="1"/>
  <c r="N94" i="1"/>
  <c r="Q94" i="1" s="1"/>
  <c r="R94" i="1" s="1"/>
  <c r="N92" i="1"/>
  <c r="Q92" i="1" s="1"/>
  <c r="R92" i="1" s="1"/>
  <c r="N124" i="1"/>
  <c r="Q124" i="1" s="1"/>
  <c r="R124" i="1" s="1"/>
  <c r="N81" i="1"/>
  <c r="Q81" i="1" s="1"/>
  <c r="R81" i="1" s="1"/>
  <c r="N113" i="1"/>
  <c r="Q113" i="1" s="1"/>
  <c r="R113" i="1" s="1"/>
  <c r="N107" i="1"/>
  <c r="Q107" i="1" s="1"/>
  <c r="R107" i="1" s="1"/>
  <c r="N83" i="1"/>
  <c r="Q83" i="1" s="1"/>
  <c r="R83" i="1" s="1"/>
  <c r="N99" i="1"/>
  <c r="Q99" i="1" s="1"/>
  <c r="R99" i="1" s="1"/>
  <c r="N115" i="1"/>
  <c r="Q115" i="1" s="1"/>
  <c r="R115" i="1" s="1"/>
  <c r="N78" i="1"/>
  <c r="Q78" i="1" s="1"/>
  <c r="R78" i="1" s="1"/>
  <c r="N75" i="1"/>
  <c r="Q75" i="1" s="1"/>
  <c r="R75" i="1" s="1"/>
  <c r="N88" i="1"/>
  <c r="Q88" i="1" s="1"/>
  <c r="R88" i="1" s="1"/>
  <c r="N104" i="1"/>
  <c r="Q104" i="1" s="1"/>
  <c r="R104" i="1" s="1"/>
  <c r="N120" i="1"/>
  <c r="Q120" i="1" s="1"/>
  <c r="R120" i="1" s="1"/>
  <c r="N90" i="1"/>
  <c r="Q90" i="1" s="1"/>
  <c r="R90" i="1" s="1"/>
  <c r="N77" i="1"/>
  <c r="Q77" i="1" s="1"/>
  <c r="R77" i="1" s="1"/>
  <c r="N93" i="1"/>
  <c r="Q93" i="1" s="1"/>
  <c r="R93" i="1" s="1"/>
  <c r="N109" i="1"/>
  <c r="Q109" i="1" s="1"/>
  <c r="R109" i="1" s="1"/>
  <c r="N102" i="1"/>
  <c r="Q102" i="1" s="1"/>
  <c r="R102" i="1" s="1"/>
  <c r="N87" i="1"/>
  <c r="Q87" i="1" s="1"/>
  <c r="R87" i="1" s="1"/>
  <c r="N119" i="1"/>
  <c r="Q119" i="1" s="1"/>
  <c r="R119" i="1" s="1"/>
  <c r="N76" i="1"/>
  <c r="Q76" i="1" s="1"/>
  <c r="R76" i="1" s="1"/>
  <c r="N108" i="1"/>
  <c r="Q108" i="1" s="1"/>
  <c r="R108" i="1" s="1"/>
  <c r="N98" i="1"/>
  <c r="Q98" i="1" s="1"/>
  <c r="R98" i="1" s="1"/>
  <c r="N97" i="1"/>
  <c r="Q97" i="1" s="1"/>
  <c r="R97" i="1" s="1"/>
  <c r="N118" i="1"/>
  <c r="Q118" i="1" s="1"/>
  <c r="R118" i="1" s="1"/>
  <c r="N91" i="1"/>
  <c r="Q91" i="1" s="1"/>
  <c r="R91" i="1" s="1"/>
  <c r="N123" i="1"/>
  <c r="Q123" i="1" s="1"/>
  <c r="R123" i="1" s="1"/>
  <c r="N106" i="1"/>
  <c r="Q106" i="1" s="1"/>
  <c r="R106" i="1" s="1"/>
  <c r="N80" i="1"/>
  <c r="Q80" i="1" s="1"/>
  <c r="R80" i="1" s="1"/>
  <c r="N96" i="1"/>
  <c r="Q96" i="1" s="1"/>
  <c r="R96" i="1" s="1"/>
  <c r="N112" i="1"/>
  <c r="Q112" i="1" s="1"/>
  <c r="R112" i="1" s="1"/>
  <c r="N121" i="1"/>
  <c r="Q121" i="1" s="1"/>
  <c r="R121" i="1" s="1"/>
  <c r="N110" i="1"/>
  <c r="Q110" i="1" s="1"/>
  <c r="R110" i="1" s="1"/>
  <c r="N85" i="1"/>
  <c r="Q85" i="1" s="1"/>
  <c r="R85" i="1" s="1"/>
  <c r="N101" i="1"/>
  <c r="Q101" i="1" s="1"/>
  <c r="R101" i="1" s="1"/>
  <c r="N117" i="1"/>
  <c r="Q117" i="1" s="1"/>
  <c r="R117" i="1" s="1"/>
  <c r="P84" i="1"/>
  <c r="B88" i="1"/>
  <c r="K130" i="1"/>
  <c r="E113" i="1" s="1"/>
  <c r="E117" i="1" s="1"/>
  <c r="E118" i="1" s="1"/>
  <c r="P110" i="1"/>
  <c r="P93" i="1"/>
  <c r="K132" i="1"/>
  <c r="E115" i="1" s="1"/>
  <c r="P102" i="1"/>
  <c r="P109" i="1"/>
  <c r="P107" i="1"/>
  <c r="P98" i="1"/>
  <c r="P101" i="1"/>
  <c r="P85" i="1"/>
  <c r="P95" i="1"/>
  <c r="P77" i="1"/>
  <c r="P82" i="1"/>
  <c r="P108" i="1"/>
  <c r="P79" i="1"/>
  <c r="P118" i="1"/>
  <c r="P80" i="1"/>
  <c r="P123" i="1"/>
  <c r="P92" i="1"/>
  <c r="P87" i="1"/>
  <c r="P75" i="1"/>
  <c r="B115" i="1" s="1"/>
  <c r="P97" i="1"/>
  <c r="P120" i="1"/>
  <c r="P99" i="1"/>
  <c r="P112" i="1"/>
  <c r="P121" i="1"/>
  <c r="P83" i="1"/>
  <c r="P122" i="1"/>
  <c r="P113" i="1"/>
  <c r="P91" i="1"/>
  <c r="P105" i="1"/>
  <c r="P76" i="1"/>
  <c r="P119" i="1"/>
  <c r="P94" i="1"/>
  <c r="P104" i="1"/>
  <c r="P106" i="1"/>
  <c r="P81" i="1"/>
  <c r="P111" i="1"/>
  <c r="P86" i="1"/>
  <c r="P125" i="1"/>
  <c r="P96" i="1"/>
  <c r="P114" i="1"/>
  <c r="P89" i="1"/>
  <c r="P124" i="1"/>
  <c r="P103" i="1"/>
  <c r="P78" i="1"/>
  <c r="P117" i="1"/>
  <c r="P88" i="1"/>
  <c r="P115" i="1"/>
  <c r="P90" i="1"/>
  <c r="P116" i="1"/>
  <c r="P100" i="1"/>
  <c r="K133" i="1"/>
  <c r="S75" i="1" l="1"/>
  <c r="S76" i="1" s="1"/>
  <c r="M140" i="1"/>
  <c r="B113" i="1"/>
  <c r="B117" i="1" s="1"/>
  <c r="B118" i="1" s="1"/>
  <c r="M138" i="1"/>
  <c r="T75" i="1"/>
  <c r="E103" i="1"/>
  <c r="S77" i="1" l="1"/>
  <c r="T76" i="1"/>
  <c r="S78" i="1" l="1"/>
  <c r="T77" i="1"/>
  <c r="S79" i="1" l="1"/>
  <c r="T78" i="1"/>
  <c r="S80" i="1" l="1"/>
  <c r="T79" i="1"/>
  <c r="S81" i="1" l="1"/>
  <c r="T80" i="1"/>
  <c r="S82" i="1" l="1"/>
  <c r="T81" i="1"/>
  <c r="S83" i="1" l="1"/>
  <c r="T82" i="1"/>
  <c r="S84" i="1" l="1"/>
  <c r="T83" i="1"/>
  <c r="S85" i="1" l="1"/>
  <c r="T84" i="1"/>
  <c r="S86" i="1" l="1"/>
  <c r="T85" i="1"/>
  <c r="S87" i="1" l="1"/>
  <c r="T86" i="1"/>
  <c r="S88" i="1" l="1"/>
  <c r="T87" i="1"/>
  <c r="S89" i="1" l="1"/>
  <c r="T88" i="1"/>
  <c r="S90" i="1" l="1"/>
  <c r="T89" i="1"/>
  <c r="S91" i="1" l="1"/>
  <c r="T90" i="1"/>
  <c r="S92" i="1" l="1"/>
  <c r="T91" i="1"/>
  <c r="S93" i="1" l="1"/>
  <c r="T92" i="1"/>
  <c r="S94" i="1" l="1"/>
  <c r="T93" i="1"/>
  <c r="S95" i="1" l="1"/>
  <c r="T94" i="1"/>
  <c r="S96" i="1" l="1"/>
  <c r="T95" i="1"/>
  <c r="S97" i="1" l="1"/>
  <c r="T96" i="1"/>
  <c r="S98" i="1" l="1"/>
  <c r="T97" i="1"/>
  <c r="S99" i="1" l="1"/>
  <c r="T98" i="1"/>
  <c r="S100" i="1" l="1"/>
  <c r="T99" i="1"/>
  <c r="S101" i="1" l="1"/>
  <c r="T100" i="1"/>
  <c r="S102" i="1" l="1"/>
  <c r="T101" i="1"/>
  <c r="S103" i="1" l="1"/>
  <c r="T102" i="1"/>
  <c r="S104" i="1" l="1"/>
  <c r="T103" i="1"/>
  <c r="S105" i="1" l="1"/>
  <c r="T104" i="1"/>
  <c r="S106" i="1" l="1"/>
  <c r="T105" i="1"/>
  <c r="S107" i="1" l="1"/>
  <c r="T106" i="1"/>
  <c r="S108" i="1" l="1"/>
  <c r="T107" i="1"/>
  <c r="S109" i="1" l="1"/>
  <c r="T108" i="1"/>
  <c r="S110" i="1" l="1"/>
  <c r="T109" i="1"/>
  <c r="S111" i="1" l="1"/>
  <c r="T110" i="1"/>
  <c r="S112" i="1" l="1"/>
  <c r="T111" i="1"/>
  <c r="S113" i="1" l="1"/>
  <c r="T112" i="1"/>
  <c r="S114" i="1" l="1"/>
  <c r="T113" i="1"/>
  <c r="S115" i="1" l="1"/>
  <c r="T114" i="1"/>
  <c r="S116" i="1" l="1"/>
  <c r="T115" i="1"/>
  <c r="S117" i="1" l="1"/>
  <c r="T116" i="1"/>
  <c r="S118" i="1" l="1"/>
  <c r="T117" i="1"/>
  <c r="S119" i="1" l="1"/>
  <c r="T118" i="1"/>
  <c r="S120" i="1" l="1"/>
  <c r="T119" i="1"/>
  <c r="S121" i="1" l="1"/>
  <c r="T120" i="1"/>
  <c r="S122" i="1" l="1"/>
  <c r="T121" i="1"/>
  <c r="S123" i="1" l="1"/>
  <c r="T122" i="1"/>
  <c r="S124" i="1" l="1"/>
  <c r="T123" i="1"/>
  <c r="S125" i="1" l="1"/>
  <c r="T125" i="1" s="1"/>
  <c r="T124" i="1"/>
  <c r="K134" i="1" l="1" a="1"/>
  <c r="K134" i="1" s="1"/>
  <c r="B103" i="1" s="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<sst xmlns="http://schemas.openxmlformats.org/spreadsheetml/2006/main" count="672" uniqueCount="380">
  <si>
    <t xml:space="preserve">Projekt: </t>
  </si>
  <si>
    <t xml:space="preserve">Bearbeiter:in: </t>
  </si>
  <si>
    <t>Datum:</t>
  </si>
  <si>
    <t xml:space="preserve">Version: </t>
  </si>
  <si>
    <t>Projektdetails</t>
  </si>
  <si>
    <t>Größe Parkplatzfläche</t>
  </si>
  <si>
    <t xml:space="preserve">Belegungsfaktor </t>
  </si>
  <si>
    <t>Überdachte Fläche</t>
  </si>
  <si>
    <t>m²</t>
  </si>
  <si>
    <t>%</t>
  </si>
  <si>
    <t>Strompreis Euro / kWh</t>
  </si>
  <si>
    <t>Tagesgrundlast in kWh</t>
  </si>
  <si>
    <t>Stromverbrauch im Jahr</t>
  </si>
  <si>
    <t xml:space="preserve">Jährliche Stromkosten </t>
  </si>
  <si>
    <t>kWh</t>
  </si>
  <si>
    <t>€/kWh</t>
  </si>
  <si>
    <t>€</t>
  </si>
  <si>
    <t>Auslegung der PV-Anlage</t>
  </si>
  <si>
    <t>Größe der Module</t>
  </si>
  <si>
    <t>Leistung pro Modul</t>
  </si>
  <si>
    <t xml:space="preserve">Ausrichtung </t>
  </si>
  <si>
    <t>Anzahl der Module</t>
  </si>
  <si>
    <t>Gesamtleistung Anlage</t>
  </si>
  <si>
    <t>kWp</t>
  </si>
  <si>
    <t>kWh/m²</t>
  </si>
  <si>
    <t xml:space="preserve">Höhe der Globalstrahlung </t>
  </si>
  <si>
    <t>Übersicht Kennwerte für die Berechnung</t>
  </si>
  <si>
    <t>Wo</t>
  </si>
  <si>
    <t>Formel</t>
  </si>
  <si>
    <t>E16</t>
  </si>
  <si>
    <t>Stück</t>
  </si>
  <si>
    <t>Break-Even-Point</t>
  </si>
  <si>
    <t>Investitionskosten PV-Dach</t>
  </si>
  <si>
    <t xml:space="preserve">Investitionskosten E-Ladesäulen </t>
  </si>
  <si>
    <t>Investitionskosten Speicher</t>
  </si>
  <si>
    <t>jährliche Betriebskosten PV-Anlage</t>
  </si>
  <si>
    <t>jährliche Betriebskosten E-Ladesäule</t>
  </si>
  <si>
    <t>jährlicher Umsatz der PV-Anlage</t>
  </si>
  <si>
    <t>jährlicher Umsatz der E-Ladesäulen</t>
  </si>
  <si>
    <t>Jährlicher Umsatz  des Speichers</t>
  </si>
  <si>
    <t>Gesamte Investitionskosten</t>
  </si>
  <si>
    <t>Gesamte Betriebskosten</t>
  </si>
  <si>
    <t>Gesamter jährlicher Umsatz</t>
  </si>
  <si>
    <t>Jährlicher Rückfluss (Cashflow)</t>
  </si>
  <si>
    <t>Zinssatz</t>
  </si>
  <si>
    <t>Laufzeit in Jahren</t>
  </si>
  <si>
    <t xml:space="preserve">Autarkiegrad </t>
  </si>
  <si>
    <t>Ergebnis</t>
  </si>
  <si>
    <t>Jahre</t>
  </si>
  <si>
    <t>Gesamte Cashflow</t>
  </si>
  <si>
    <t>Jährliche Cashflow mit Zinsen</t>
  </si>
  <si>
    <t>Für Tabelle</t>
  </si>
  <si>
    <t>Jahr</t>
  </si>
  <si>
    <t>Kapitalwert NVP</t>
  </si>
  <si>
    <t>Für Tabelle 2</t>
  </si>
  <si>
    <t>Eigenbedarf</t>
  </si>
  <si>
    <t>Netzeinspeisung</t>
  </si>
  <si>
    <t>Off-Site PPA</t>
  </si>
  <si>
    <t>On-Site PPA</t>
  </si>
  <si>
    <t xml:space="preserve">E-Ladesäule </t>
  </si>
  <si>
    <t>Speicher</t>
  </si>
  <si>
    <t xml:space="preserve">Investkosten </t>
  </si>
  <si>
    <t>Cashflow</t>
  </si>
  <si>
    <t>aus Eingabe</t>
  </si>
  <si>
    <t>1. Aufteilung nach Monat</t>
  </si>
  <si>
    <t>Januar</t>
  </si>
  <si>
    <t>Februar</t>
  </si>
  <si>
    <t>März</t>
  </si>
  <si>
    <t>April</t>
  </si>
  <si>
    <t>Mai</t>
  </si>
  <si>
    <t>Juni</t>
  </si>
  <si>
    <t>Juli</t>
  </si>
  <si>
    <t>August</t>
  </si>
  <si>
    <t>September</t>
  </si>
  <si>
    <t>Oktober</t>
  </si>
  <si>
    <t>November</t>
  </si>
  <si>
    <t>Dezember</t>
  </si>
  <si>
    <t>Anteil</t>
  </si>
  <si>
    <t>Tage</t>
  </si>
  <si>
    <t>Tageserzegung</t>
  </si>
  <si>
    <t>Tageserzeugung bei Süd-Ausrichtung</t>
  </si>
  <si>
    <t>Vormittags</t>
  </si>
  <si>
    <t>Mittags</t>
  </si>
  <si>
    <t>Nachmittags</t>
  </si>
  <si>
    <t>Tageserzeugung bei Ost-West</t>
  </si>
  <si>
    <t>2. Tageszeiten</t>
  </si>
  <si>
    <t>3. Eigenbedarf</t>
  </si>
  <si>
    <t>Strombedarf Jahr</t>
  </si>
  <si>
    <t xml:space="preserve">Anteil </t>
  </si>
  <si>
    <t>Nachts</t>
  </si>
  <si>
    <t>Strombedarf Tag</t>
  </si>
  <si>
    <t xml:space="preserve">4. Speichergröße </t>
  </si>
  <si>
    <t>Speichergröße</t>
  </si>
  <si>
    <t>5. Tagesabdeckung</t>
  </si>
  <si>
    <t>Stromerzeugung-Bedarf</t>
  </si>
  <si>
    <t>Speicher Be- und Entladung</t>
  </si>
  <si>
    <t>&gt;</t>
  </si>
  <si>
    <t>&lt;</t>
  </si>
  <si>
    <t>Speicherbeladung Mittags</t>
  </si>
  <si>
    <t>Speicher nach dem Mittag</t>
  </si>
  <si>
    <t>Abgabe an Netz nach dem Mittag</t>
  </si>
  <si>
    <t>Aus dem Netz nach dem Mittag</t>
  </si>
  <si>
    <t>Speicherbeladung Abends</t>
  </si>
  <si>
    <t>Speicher nach dem Abend</t>
  </si>
  <si>
    <t>Abgabe an Netz nach dem Abend</t>
  </si>
  <si>
    <t>Aus dem Netz nach dem Abend</t>
  </si>
  <si>
    <t>Speicher nach der Nacht</t>
  </si>
  <si>
    <t>Speicherentladung Abends</t>
  </si>
  <si>
    <t>Speicherentladung Nachts</t>
  </si>
  <si>
    <t>Speicherbeladung Vormittags</t>
  </si>
  <si>
    <t>Speicherentladung Vormittags</t>
  </si>
  <si>
    <t>Speicher nach dem Vormittag</t>
  </si>
  <si>
    <t>Abgabe an Netz nach dem Vormittag</t>
  </si>
  <si>
    <t>Aus dem Netz nach dem Vormittag</t>
  </si>
  <si>
    <t>Tagesbilanz</t>
  </si>
  <si>
    <t>Speicher voll geladen ?</t>
  </si>
  <si>
    <t>Speicher entladen?</t>
  </si>
  <si>
    <t>Summe Abgabe an Netz</t>
  </si>
  <si>
    <t>Summe aus dem Netz</t>
  </si>
  <si>
    <t>Wie Verbrauch durch Solar gedeckt</t>
  </si>
  <si>
    <t>Jahresbilanz</t>
  </si>
  <si>
    <t>Wie oft Speicher voll geladen</t>
  </si>
  <si>
    <t>Wie oft Speicher entladen</t>
  </si>
  <si>
    <t>Jahreseinspeisung Netz</t>
  </si>
  <si>
    <t>Jahresabnahme aus den Netz</t>
  </si>
  <si>
    <t>Wie viel kWh durch Eigenbedarf gedeckt</t>
  </si>
  <si>
    <t>6. Ladesäule</t>
  </si>
  <si>
    <t>Hier kommen noch Berechnungen bis die täglicher Bedarf feststeht</t>
  </si>
  <si>
    <t>Tägliche Bedarf</t>
  </si>
  <si>
    <t>Strombedarf Jahr für Ladesäule</t>
  </si>
  <si>
    <t>Dieses Excel-Tool ist als Open-Source-Arbeitstool gedacht. Alle Rechenwege können in diesem Abschnitt nachvollzogen werden. Dieses Dokument ist schreibgeschützt. Wenn Sie als Nutzer:in etwas an den Berechnungen anpassen, optimieren oder verbessern wollen, fragen Sie bitte nach dem Passwort für die Aufhebung des Schutzes bei der Klimaleitstelle der Hansestadt Lübeck an: klimaleitstelle@luebeck.de</t>
  </si>
  <si>
    <t>Berechnungen, Kennzahlen und Quellen</t>
  </si>
  <si>
    <t xml:space="preserve">Berechnungen </t>
  </si>
  <si>
    <t>Kommentar/Erläuterung</t>
  </si>
  <si>
    <t>Berechnung der Überdachten Fläche</t>
  </si>
  <si>
    <t xml:space="preserve">Berechnung der jährlichen Stromkosten </t>
  </si>
  <si>
    <t>Tagesgrundlast bezogen auf 365 Tage</t>
  </si>
  <si>
    <t>Bezeichnung</t>
  </si>
  <si>
    <t>Größe</t>
  </si>
  <si>
    <t>Einheit</t>
  </si>
  <si>
    <t xml:space="preserve">Wo </t>
  </si>
  <si>
    <t>Quelle</t>
  </si>
  <si>
    <t>Leerzeile für Dropdown</t>
  </si>
  <si>
    <t>typische Modulgröße bei verschiedenen realisierten Projekten</t>
  </si>
  <si>
    <t>B20</t>
  </si>
  <si>
    <t>Klassische Module haben eine Leistung von ca. 450- 480Wp. Eine weitere Steigerung der Leistung eines einzelnen Moduls ist in der Zukunft zu erwarten.</t>
  </si>
  <si>
    <t>Globalstrahlung für Lübeck kann auf Webseiten wie bspw.  https://echtsolar.de/globalstrahlung/ ermittelt werden</t>
  </si>
  <si>
    <t>Anzahl der Module ganzzahlig gerundet</t>
  </si>
  <si>
    <t>Gesamtleistung der Anlage</t>
  </si>
  <si>
    <t>E-Ladesäulen</t>
  </si>
  <si>
    <t>Nutzung</t>
  </si>
  <si>
    <t>Systemverluste</t>
  </si>
  <si>
    <t xml:space="preserve">Degradationrate pro Jahr der Pv-Modulen </t>
  </si>
  <si>
    <t>Umwandlungsverluste (DC -&gt; AC)</t>
  </si>
  <si>
    <t>Europäischer Wirkungsgrad des Wechselrichters</t>
  </si>
  <si>
    <t>bewertet die Effizienz realistisch anhand typischer Teillastpunkte in Mitteleuropa: ηEU=0,03⋅η5%+0,06⋅η10%+0,13⋅η20%+0,10⋅η30%+0,48⋅η50%+0,20⋅η100%ηEU​=0,03⋅η5%​+0,06⋅η10%​+0,13⋅η20%​+0,10⋅η30%​+0,48⋅η50%​+0,20⋅η100%​</t>
  </si>
  <si>
    <t xml:space="preserve">Heutige Wechselrichter haben Umwandlungsverluste zwischen 2% und 4%. </t>
  </si>
  <si>
    <t>typischer Erfahrungswert bei verschiedenen realisierten Projekten</t>
  </si>
  <si>
    <t>Gesamtjahresertrag</t>
  </si>
  <si>
    <t>Korrekturfaktor</t>
  </si>
  <si>
    <t>B24</t>
  </si>
  <si>
    <t>E25</t>
  </si>
  <si>
    <t>jährlicher Stromverbrauch</t>
  </si>
  <si>
    <t>Anzahl Ladungen pro AC-Säule</t>
  </si>
  <si>
    <t>Anzahl Ladungen pro DC-Säule</t>
  </si>
  <si>
    <t>pro Tag</t>
  </si>
  <si>
    <t>Ø Batteriekapazität E-Auto</t>
  </si>
  <si>
    <t>Ø Ladung der Autobatterie</t>
  </si>
  <si>
    <t>Vormittags (06-10)</t>
  </si>
  <si>
    <t>Mittags (10-14)</t>
  </si>
  <si>
    <t>Nachmittags (14-18)</t>
  </si>
  <si>
    <t>Nachts (18-06)</t>
  </si>
  <si>
    <t>Strombedarf Aufteilung über den Tag</t>
  </si>
  <si>
    <t>Früh (06-10 Uhr)</t>
  </si>
  <si>
    <t>Mittag (10-14 Uhr)</t>
  </si>
  <si>
    <t>Nachmittag (14-18 Uhr)</t>
  </si>
  <si>
    <t>Nachts (18-06 Uhr)</t>
  </si>
  <si>
    <t>Zeigt rotes Feld, wenn Summe nicht 100%</t>
  </si>
  <si>
    <t>Überprüfung</t>
  </si>
  <si>
    <t>Anzahl AC-Ladesäulen         (22 kW)</t>
  </si>
  <si>
    <t>Anzahl DC-Ladesäulen        (55 kW)</t>
  </si>
  <si>
    <t xml:space="preserve">Ø Batteriekapazität E-Auto                </t>
  </si>
  <si>
    <t>vorgeschlagene Speichergröße</t>
  </si>
  <si>
    <t>.</t>
  </si>
  <si>
    <t>Hintergrundberechung zu Tageserzeugung und -verbrauch</t>
  </si>
  <si>
    <t>Gesamtjahreserzeugung</t>
  </si>
  <si>
    <t>1. Abschätzung auf Basis-Nachtbedarf</t>
  </si>
  <si>
    <t>Tagesdurchschnittswert</t>
  </si>
  <si>
    <t>Zwischenergebnisse für die Speicherauswahl</t>
  </si>
  <si>
    <t>Welche Art der Nutzung wird angestrebt?</t>
  </si>
  <si>
    <t>Jahresabdeckung Solar mit Speicher</t>
  </si>
  <si>
    <t>Jahresabedeckung Solar ohne Speicher</t>
  </si>
  <si>
    <t>Negativ-Summe (ohne Speicher)</t>
  </si>
  <si>
    <t>Jahresabdeckung Solar ohne Speicher</t>
  </si>
  <si>
    <t>Kosten und Vermarktung</t>
  </si>
  <si>
    <t xml:space="preserve">Technische Auslegung und Nutzung </t>
  </si>
  <si>
    <t xml:space="preserve">Investitionskosten </t>
  </si>
  <si>
    <t xml:space="preserve">Überdachungskonzept </t>
  </si>
  <si>
    <t xml:space="preserve">Durchschnittspreis der gesamten PV-Überdachung (€/m²) </t>
  </si>
  <si>
    <r>
      <t xml:space="preserve">Der angegebene </t>
    </r>
    <r>
      <rPr>
        <b/>
        <sz val="11"/>
        <color rgb="FF000000"/>
        <rFont val="Calibri"/>
        <family val="2"/>
        <scheme val="minor"/>
      </rPr>
      <t>Durchschnittspreis</t>
    </r>
    <r>
      <rPr>
        <sz val="11"/>
        <color rgb="FF000000"/>
        <rFont val="Calibri"/>
        <family val="2"/>
        <scheme val="minor"/>
      </rPr>
      <t xml:space="preserve"> wurde aus insgesamt </t>
    </r>
    <r>
      <rPr>
        <b/>
        <sz val="11"/>
        <color rgb="FF000000"/>
        <rFont val="Calibri"/>
        <family val="2"/>
        <scheme val="minor"/>
      </rPr>
      <t xml:space="preserve">13, </t>
    </r>
    <r>
      <rPr>
        <sz val="11"/>
        <color rgb="FF000000"/>
        <rFont val="Calibri"/>
        <family val="2"/>
        <scheme val="minor"/>
      </rPr>
      <t> im Zeitraum </t>
    </r>
    <r>
      <rPr>
        <b/>
        <sz val="11"/>
        <color rgb="FF000000"/>
        <rFont val="Calibri"/>
        <family val="2"/>
        <scheme val="minor"/>
      </rPr>
      <t xml:space="preserve">2020 bis 2025, realisierten Pilotprojekten </t>
    </r>
    <r>
      <rPr>
        <sz val="11"/>
        <color rgb="FF000000"/>
        <rFont val="Calibri"/>
        <family val="2"/>
        <scheme val="minor"/>
      </rPr>
      <t>abgeleitet.</t>
    </r>
  </si>
  <si>
    <t>B41</t>
  </si>
  <si>
    <t>E21</t>
  </si>
  <si>
    <t>E22</t>
  </si>
  <si>
    <t>E23</t>
  </si>
  <si>
    <t>E35</t>
  </si>
  <si>
    <t>E36</t>
  </si>
  <si>
    <t>B21</t>
  </si>
  <si>
    <t>Durchschnittspreis der gesamten PV-Überdachung</t>
  </si>
  <si>
    <t xml:space="preserve">€/m² </t>
  </si>
  <si>
    <t xml:space="preserve">Sonstiges  </t>
  </si>
  <si>
    <t xml:space="preserve">Kosten Trägersystem  </t>
  </si>
  <si>
    <t xml:space="preserve">Kosten Fundament  </t>
  </si>
  <si>
    <t xml:space="preserve">Kosten Solarmodule  </t>
  </si>
  <si>
    <t>Blindkosten bezogen auf den Gesamtpreis</t>
  </si>
  <si>
    <t xml:space="preserve">Installationskosten </t>
  </si>
  <si>
    <t>Wechselrichter</t>
  </si>
  <si>
    <t>€/kWp</t>
  </si>
  <si>
    <t xml:space="preserve">Kosten je kWp der PV-Anlage </t>
  </si>
  <si>
    <t>Kosten für PV-Überdachung</t>
  </si>
  <si>
    <t>Kosten Wechselrichter</t>
  </si>
  <si>
    <t xml:space="preserve">E-Ladesäulen </t>
  </si>
  <si>
    <t>Anschaffungskosten AC-Ladesäule</t>
  </si>
  <si>
    <t>Installationskosten AC-Ladesäule</t>
  </si>
  <si>
    <t>Anschaffungskosten DC-Ladesäule</t>
  </si>
  <si>
    <t>Installationskosten DC-Ladesäule</t>
  </si>
  <si>
    <t>Werte aus Recherche</t>
  </si>
  <si>
    <t>Kosten E-Ladesäulen</t>
  </si>
  <si>
    <t>Kosten Speicher</t>
  </si>
  <si>
    <t>RLM Messkosten für Hochspannung (€/Jahr)</t>
  </si>
  <si>
    <t>Jahreskosten Wartung pro DC-Säule</t>
  </si>
  <si>
    <t>Jahreskosten Wartung pro AC-Säule</t>
  </si>
  <si>
    <t xml:space="preserve">RLM Messkosten (€/Jahr) </t>
  </si>
  <si>
    <t xml:space="preserve">Instandhaltungskosten und jährliche Abgaben </t>
  </si>
  <si>
    <t>jährliche Inflation</t>
  </si>
  <si>
    <t>Einnahmen und Vermarktung</t>
  </si>
  <si>
    <t>Inflationsrate</t>
  </si>
  <si>
    <t>https://www.finanz-tools.de/inflation/inflationsraten-deutschland</t>
  </si>
  <si>
    <t>Recherchewerte 2025</t>
  </si>
  <si>
    <t xml:space="preserve">Wartungskosten </t>
  </si>
  <si>
    <t xml:space="preserve">Sonstige Betriebskosten </t>
  </si>
  <si>
    <t>Instandhaltungskosten PV-Anlage 1. Jahr</t>
  </si>
  <si>
    <t>Instandhaltungskosten Ladesäulen 1. Jahr</t>
  </si>
  <si>
    <t>PV-Anlage</t>
  </si>
  <si>
    <t>Einsparung durch Eigenverbrauch</t>
  </si>
  <si>
    <t>Einnahmen durch Netzeinspeisung</t>
  </si>
  <si>
    <t>Einspeisung, Direktvermarktung  und PPA</t>
  </si>
  <si>
    <t>geplante Inbetriebnahme bis</t>
  </si>
  <si>
    <t>E17</t>
  </si>
  <si>
    <t>Anlagengröße</t>
  </si>
  <si>
    <t>Geplante Nutzung</t>
  </si>
  <si>
    <t>Marktprämie bis 1000 kWp</t>
  </si>
  <si>
    <t>Marktprämie Teileinspeisung</t>
  </si>
  <si>
    <t xml:space="preserve">Einspeisevergütung </t>
  </si>
  <si>
    <t>Einspeisevergütung bis        100 kWp</t>
  </si>
  <si>
    <t>Bundesnetzagentur</t>
  </si>
  <si>
    <t>Vermarktung bei Volleinspeisung</t>
  </si>
  <si>
    <t>Erwarteter Preis PPA</t>
  </si>
  <si>
    <t>Market Capture Rate (MCR)</t>
  </si>
  <si>
    <t xml:space="preserve">Erwarteter durchschnittlicher Marktstrompreis </t>
  </si>
  <si>
    <t>https://www.pv-magazine.de/2025/02/27/enervis-photovoltaik-ausbau-fuehrt-zu-grenzueberschreitenden-kannibalisierungseffekten-in-europa/</t>
  </si>
  <si>
    <t>Erwartete Einnahmen Volleinspeisung</t>
  </si>
  <si>
    <t>Einnahmen durch Einspeisevergütung</t>
  </si>
  <si>
    <t>Einnahmen bei Direktvermarktung</t>
  </si>
  <si>
    <t>Einnahmen bei PPA</t>
  </si>
  <si>
    <t>Auswahl</t>
  </si>
  <si>
    <t>Eigenbedarf und Überschusseinspeisung</t>
  </si>
  <si>
    <t>ohne Speicher</t>
  </si>
  <si>
    <t>Einsparung durch Eigenbedarf</t>
  </si>
  <si>
    <t>Erwartete Einnahmen Teilleinspeisung</t>
  </si>
  <si>
    <t>Positiv-Summe (ohne Speicher)</t>
  </si>
  <si>
    <t>Eigenbedarf ohne Speicher</t>
  </si>
  <si>
    <t>Gesamt</t>
  </si>
  <si>
    <t>E-Ladesäule</t>
  </si>
  <si>
    <t>Anzahl DC-Säulen Firmenintern</t>
  </si>
  <si>
    <t xml:space="preserve">Einnahmen pro DC-Säule Nutzung Firmenintern </t>
  </si>
  <si>
    <t>Anzahl AC-Säulen Firmenintern</t>
  </si>
  <si>
    <t>Anzahl AC-Säulen Kund:innen/Extern</t>
  </si>
  <si>
    <t>Anzahl DC-Säulen Kund:innen/Extern</t>
  </si>
  <si>
    <t xml:space="preserve">Einnahmen pro AC-Säule Nutzung Firmenintern </t>
  </si>
  <si>
    <t>Erwartete Einnahmen       E-Ladesäulen</t>
  </si>
  <si>
    <t xml:space="preserve">Förderung für Investitionskosten </t>
  </si>
  <si>
    <t>Aktuelle Fördermittle finden Sie unter: https://www.foerderdatenbank.de/FDB/DE/Home/home.html</t>
  </si>
  <si>
    <t>Für alle jährlichen Kosten hier die Zahlen abhängig von gewählten Betrachtungszeitraum</t>
  </si>
  <si>
    <t>Instandhaltung PV</t>
  </si>
  <si>
    <t>jährliche Werte (inkl. Inflation) anzeigen nach</t>
  </si>
  <si>
    <t xml:space="preserve">Jahren </t>
  </si>
  <si>
    <t>andere Berechnungen folgen unter der Tabelle</t>
  </si>
  <si>
    <t>Instandhaltung E-Ladesäule</t>
  </si>
  <si>
    <t>Volleinspeisung</t>
  </si>
  <si>
    <t>Jährliche Kosten und Umsätze für das 1. Jahr</t>
  </si>
  <si>
    <t>Umsatz PV</t>
  </si>
  <si>
    <t>Umsatz E-Lade</t>
  </si>
  <si>
    <t>Umsatz Speicher</t>
  </si>
  <si>
    <t>Laufzeit</t>
  </si>
  <si>
    <t>Cashflow verzinst</t>
  </si>
  <si>
    <t>Break Even</t>
  </si>
  <si>
    <t>aufsummiert</t>
  </si>
  <si>
    <t xml:space="preserve">Für die Grafik Kosten/Nutzen </t>
  </si>
  <si>
    <t>Cashflow (nach 25 Jahren)</t>
  </si>
  <si>
    <t>Süd-Ausrichtung</t>
  </si>
  <si>
    <t>Gesamtleistung</t>
  </si>
  <si>
    <t>kwp</t>
  </si>
  <si>
    <t>A17</t>
  </si>
  <si>
    <t>B16</t>
  </si>
  <si>
    <t>B25</t>
  </si>
  <si>
    <t>E26</t>
  </si>
  <si>
    <t>B37</t>
  </si>
  <si>
    <t>Speicher auf Nachtbedarf ausgelegt</t>
  </si>
  <si>
    <t>Berechnung m²-Preis entweder aus angegeben Werten, sonst Durchschnittspreis</t>
  </si>
  <si>
    <t>B56</t>
  </si>
  <si>
    <t>B57</t>
  </si>
  <si>
    <t xml:space="preserve">15% der Investkosten für Blindkosten </t>
  </si>
  <si>
    <t xml:space="preserve">Gesamtkosten </t>
  </si>
  <si>
    <t>B58</t>
  </si>
  <si>
    <t>B62</t>
  </si>
  <si>
    <t>B63</t>
  </si>
  <si>
    <t>B64</t>
  </si>
  <si>
    <t>E58</t>
  </si>
  <si>
    <t>E62</t>
  </si>
  <si>
    <t>Summe</t>
  </si>
  <si>
    <t xml:space="preserve">Kosten E-Ladesäulen mal Anzahl E-Ladesäulen </t>
  </si>
  <si>
    <t>E63</t>
  </si>
  <si>
    <t>E64</t>
  </si>
  <si>
    <t>B72</t>
  </si>
  <si>
    <t>B73</t>
  </si>
  <si>
    <t>E73</t>
  </si>
  <si>
    <t>B78</t>
  </si>
  <si>
    <t>B80</t>
  </si>
  <si>
    <t>E80</t>
  </si>
  <si>
    <t>B85</t>
  </si>
  <si>
    <t>K58</t>
  </si>
  <si>
    <t>B88</t>
  </si>
  <si>
    <t>E88</t>
  </si>
  <si>
    <t>B89</t>
  </si>
  <si>
    <t>E89</t>
  </si>
  <si>
    <t>B90</t>
  </si>
  <si>
    <t>E90</t>
  </si>
  <si>
    <t>B97</t>
  </si>
  <si>
    <t>Summe E-Lade</t>
  </si>
  <si>
    <t>B106</t>
  </si>
  <si>
    <t>B107</t>
  </si>
  <si>
    <t>B108</t>
  </si>
  <si>
    <t>B111</t>
  </si>
  <si>
    <t>B112</t>
  </si>
  <si>
    <t>B113</t>
  </si>
  <si>
    <t>B114</t>
  </si>
  <si>
    <t>B115</t>
  </si>
  <si>
    <t>E103</t>
  </si>
  <si>
    <t>B103</t>
  </si>
  <si>
    <t>Amortisationszeit</t>
  </si>
  <si>
    <t>NVP</t>
  </si>
  <si>
    <t>Summen</t>
  </si>
  <si>
    <t xml:space="preserve">Finanzierung </t>
  </si>
  <si>
    <t xml:space="preserve">Kapitalwert  (NPV) </t>
  </si>
  <si>
    <t>Nur bei Eigenbedarf</t>
  </si>
  <si>
    <t xml:space="preserve">Alternartiv können hier Preise von Einzelkomponenten zusammengestellt werden: </t>
  </si>
  <si>
    <t>Vergütung nach aktuellen Regeln</t>
  </si>
  <si>
    <t>Überprüfung Summe</t>
  </si>
  <si>
    <t xml:space="preserve">Sollte bereits ein Angebot vorliegen können die Kosten direkt hier eingetragen werden: </t>
  </si>
  <si>
    <t xml:space="preserve">Anschaffungskosten </t>
  </si>
  <si>
    <t>Aus dem Netz nach  der Nacht</t>
  </si>
  <si>
    <t>Cent/     kWh</t>
  </si>
  <si>
    <t xml:space="preserve">Technische Werte </t>
  </si>
  <si>
    <t>Netzeinspeisung ohne Speicher</t>
  </si>
  <si>
    <t xml:space="preserve">Dieses Formular unterstützt Sie bei der Planung der PV-Überdachung eines Parkplatzes. Anhand von Durchschnittswerten aus bereits realisierten Projekten können Sie schnell eine erste Einschätzung zur Finanzierbarkeit und Amortisationszeit vornehmen. Bei Eingabe eigener Angebote haben Sie die Möglichkeit, die Werte schrittweise durch Ihre eigenen Angaben zu ersetzen, um die Berechnung zu konkretisieren </t>
  </si>
  <si>
    <t>Unternehmen:</t>
  </si>
  <si>
    <t>Kah/Jahr</t>
  </si>
  <si>
    <t>Cent/ kWh</t>
  </si>
  <si>
    <t>Die weiteren Berechnungen für Speicher und Eigenbedarf sind umfangreicher und beginnen in einer Extratabelle ab Zelle AB6</t>
  </si>
  <si>
    <t>Summe abhängig ob RLM-Kosten für Direkteinspeisung ja/nein</t>
  </si>
  <si>
    <t>Ø Ladung der Batterie pro Ladevorgang</t>
  </si>
  <si>
    <t>Wie oft Speicher vollständig entladen</t>
  </si>
  <si>
    <t>Wie oft Speicher vollständig geladen</t>
  </si>
  <si>
    <t>Eigenverbrauchsquote</t>
  </si>
  <si>
    <t>Nur bei Nutzungsart: Volleinspeisung (Zelle D29)</t>
  </si>
  <si>
    <t>Eigenbedarf (inkl. E-Ladesäulen)+ Überschusseinspeisung</t>
  </si>
  <si>
    <t>Einspeisevergütung bzw. Marktprämie</t>
  </si>
  <si>
    <t>Überprüfen Tageserzeugung - Bedarf</t>
  </si>
  <si>
    <t xml:space="preserve">Hinweis: Die Speichergröße wird anhand des Nachtverbrauches ermittelt. Damit entspricht die vorgeschlagene Größe nicht in jedem Fall der wirtschaftlichsten Auslegung. Probieren Sie gern gerringere Speichergrößen – insb. bei hoher Eigenverbrauchsquote. 
</t>
  </si>
  <si>
    <t>Parkplatz-PV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</si>
</sst>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quot;"/>
    <numFmt numFmtId="165" formatCode="#,##0.0"/>
  </numFmts>
  <fonts count="24" x14ac:knownFonts="1">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sz val="11"/>
      <color theme="1"/>
      <name val="Calibri"/>
      <family val="2"/>
      <scheme val="minor"/>
    </font>
    <font>
      <sz val="8.5"/>
      <color theme="1"/>
      <name val="Open Sans"/>
      <family val="2"/>
    </font>
    <font>
      <b/>
      <sz val="8.5"/>
      <color theme="1"/>
      <name val="Open Sans"/>
      <family val="2"/>
    </font>
    <font>
      <b/>
      <sz val="14"/>
      <color theme="0"/>
      <name val="Open Sans"/>
      <family val="2"/>
    </font>
    <font>
      <b/>
      <sz val="10"/>
      <color theme="0"/>
      <name val="Open Sans"/>
      <family val="2"/>
    </font>
    <font>
      <sz val="10"/>
      <color theme="0"/>
      <name val="Open Sans"/>
      <family val="2"/>
    </font>
    <font>
      <sz val="8.5"/>
      <color theme="1"/>
      <name val="Open Sans"/>
      <family val="2"/>
    </font>
    <font>
      <sz val="8"/>
      <name val="Calibri"/>
      <family val="2"/>
      <scheme val="minor"/>
    </font>
    <font>
      <i/>
      <u/>
      <sz val="11"/>
      <color theme="1"/>
      <name val="Calibri"/>
      <family val="2"/>
      <scheme val="minor"/>
    </font>
    <font>
      <sz val="10"/>
      <color theme="0"/>
      <name val="Open Sans"/>
      <family val="2"/>
    </font>
    <font>
      <sz val="11"/>
      <color rgb="FF000000"/>
      <name val="Calibri"/>
      <family val="2"/>
      <scheme val="minor"/>
    </font>
    <font>
      <b/>
      <sz val="8.5"/>
      <color theme="1"/>
      <name val="Open Sans"/>
      <family val="2"/>
    </font>
    <font>
      <i/>
      <sz val="8.5"/>
      <color theme="1"/>
      <name val="Open Sans"/>
      <family val="2"/>
    </font>
    <font>
      <b/>
      <sz val="11"/>
      <color rgb="FF000000"/>
      <name val="Calibri"/>
      <family val="2"/>
      <scheme val="minor"/>
    </font>
    <font>
      <u/>
      <sz val="11"/>
      <color theme="10"/>
      <name val="Calibri"/>
      <family val="2"/>
      <scheme val="minor"/>
    </font>
    <font>
      <u/>
      <sz val="8.5"/>
      <color theme="10"/>
      <name val="Open Sans"/>
      <family val="2"/>
    </font>
    <font>
      <sz val="9.9"/>
      <color rgb="FF393A34"/>
      <name val="Consolas"/>
      <family val="3"/>
    </font>
    <font>
      <sz val="10"/>
      <color theme="1"/>
      <name val="Open Sans"/>
      <family val="2"/>
    </font>
    <font>
      <b/>
      <sz val="10"/>
      <color theme="0"/>
      <name val="Open Sans"/>
      <family val="2"/>
    </font>
    <font>
      <u/>
      <sz val="8.5"/>
      <color theme="1"/>
      <name val="Open Sans"/>
      <family val="2"/>
    </font>
  </fonts>
  <fills count="12">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39997558519241921"/>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diagonal/>
    </border>
    <border>
      <left/>
      <right style="hair">
        <color indexed="64"/>
      </right>
      <top/>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9" fontId="4" fillId="0" borderId="0" applyFont="0" applyFill="0" applyBorder="0" applyAlignment="0" applyProtection="0"/>
    <xf numFmtId="0" fontId="4" fillId="0" borderId="0"/>
    <xf numFmtId="0" fontId="18" fillId="0" borderId="0" applyNumberFormat="0" applyFill="0" applyBorder="0" applyAlignment="0" applyProtection="0"/>
  </cellStyleXfs>
  <cellXfs count="196">
    <xf numFmtId="0" fontId="0" fillId="0" borderId="0" xfId="0"/>
    <xf numFmtId="0" fontId="10" fillId="4" borderId="0" xfId="0" applyFont="1" applyFill="1" applyAlignment="1" applyProtection="1">
      <alignment vertical="center"/>
      <protection locked="0"/>
    </xf>
    <xf numFmtId="0" fontId="10" fillId="4" borderId="0" xfId="0" applyFont="1" applyFill="1" applyAlignment="1" applyProtection="1">
      <alignment vertical="center" wrapText="1"/>
      <protection locked="0"/>
    </xf>
    <xf numFmtId="0" fontId="5" fillId="4" borderId="0" xfId="2" applyFont="1" applyFill="1" applyAlignment="1" applyProtection="1">
      <alignment vertical="center"/>
      <protection locked="0"/>
    </xf>
    <xf numFmtId="3" fontId="5" fillId="4" borderId="0" xfId="2" applyNumberFormat="1" applyFont="1" applyFill="1" applyAlignment="1" applyProtection="1">
      <alignment vertical="center"/>
      <protection locked="0"/>
    </xf>
    <xf numFmtId="17" fontId="5" fillId="4" borderId="0" xfId="0" applyNumberFormat="1" applyFont="1" applyFill="1" applyAlignment="1" applyProtection="1">
      <alignment wrapText="1"/>
      <protection locked="0"/>
    </xf>
    <xf numFmtId="0" fontId="5" fillId="4" borderId="11" xfId="2" applyFont="1" applyFill="1" applyBorder="1" applyAlignment="1" applyProtection="1">
      <alignment vertical="center"/>
      <protection locked="0"/>
    </xf>
    <xf numFmtId="2" fontId="5" fillId="4" borderId="0" xfId="2" applyNumberFormat="1" applyFont="1" applyFill="1" applyAlignment="1" applyProtection="1">
      <alignment vertical="center"/>
      <protection locked="0"/>
    </xf>
    <xf numFmtId="4" fontId="5" fillId="4" borderId="0" xfId="2" applyNumberFormat="1" applyFont="1" applyFill="1" applyAlignment="1" applyProtection="1">
      <alignment vertical="center"/>
      <protection locked="0"/>
    </xf>
    <xf numFmtId="4" fontId="5" fillId="4" borderId="0" xfId="2" applyNumberFormat="1" applyFont="1" applyFill="1" applyProtection="1">
      <protection locked="0"/>
    </xf>
    <xf numFmtId="165" fontId="5" fillId="4" borderId="0" xfId="2" applyNumberFormat="1" applyFont="1" applyFill="1" applyProtection="1">
      <protection locked="0"/>
    </xf>
    <xf numFmtId="0" fontId="5" fillId="4" borderId="0" xfId="2" applyFont="1" applyFill="1" applyAlignment="1" applyProtection="1">
      <alignment vertical="top" wrapText="1"/>
      <protection locked="0"/>
    </xf>
    <xf numFmtId="0" fontId="5" fillId="4" borderId="0" xfId="2" applyFont="1" applyFill="1" applyAlignment="1" applyProtection="1">
      <alignment vertical="top"/>
      <protection locked="0"/>
    </xf>
    <xf numFmtId="2" fontId="5" fillId="4" borderId="0" xfId="2" applyNumberFormat="1" applyFont="1" applyFill="1" applyAlignment="1" applyProtection="1">
      <alignment horizontal="right" vertical="top"/>
      <protection locked="0"/>
    </xf>
    <xf numFmtId="2" fontId="5" fillId="4" borderId="0" xfId="2" applyNumberFormat="1" applyFont="1" applyFill="1" applyAlignment="1" applyProtection="1">
      <alignment horizontal="right" vertical="center"/>
      <protection locked="0"/>
    </xf>
    <xf numFmtId="1" fontId="5" fillId="4" borderId="0" xfId="2" applyNumberFormat="1" applyFont="1" applyFill="1" applyAlignment="1" applyProtection="1">
      <alignment horizontal="right" vertical="center"/>
      <protection locked="0"/>
    </xf>
    <xf numFmtId="1" fontId="5" fillId="4" borderId="0" xfId="2" applyNumberFormat="1" applyFont="1" applyFill="1" applyAlignment="1" applyProtection="1">
      <alignment vertical="center" wrapText="1"/>
      <protection locked="0"/>
    </xf>
    <xf numFmtId="0" fontId="3" fillId="2" borderId="0" xfId="0" applyFont="1" applyFill="1" applyProtection="1">
      <protection hidden="1"/>
    </xf>
    <xf numFmtId="0" fontId="1" fillId="0" borderId="0" xfId="0" applyFont="1" applyProtection="1">
      <protection hidden="1"/>
    </xf>
    <xf numFmtId="0" fontId="0" fillId="0" borderId="0" xfId="0" applyProtection="1">
      <protection hidden="1"/>
    </xf>
    <xf numFmtId="0" fontId="0" fillId="2" borderId="0" xfId="0" applyFill="1" applyAlignment="1" applyProtection="1">
      <alignment horizontal="left" wrapText="1"/>
      <protection hidden="1"/>
    </xf>
    <xf numFmtId="0" fontId="1" fillId="8" borderId="0" xfId="0" applyFont="1" applyFill="1" applyProtection="1">
      <protection hidden="1"/>
    </xf>
    <xf numFmtId="0" fontId="0" fillId="8" borderId="0" xfId="0" applyFill="1" applyProtection="1">
      <protection hidden="1"/>
    </xf>
    <xf numFmtId="0" fontId="0" fillId="2" borderId="0" xfId="0" applyFill="1" applyProtection="1">
      <protection hidden="1"/>
    </xf>
    <xf numFmtId="0" fontId="0" fillId="5" borderId="16" xfId="0" applyFill="1" applyBorder="1" applyProtection="1">
      <protection hidden="1"/>
    </xf>
    <xf numFmtId="0" fontId="0" fillId="7" borderId="16" xfId="0" applyFill="1" applyBorder="1" applyProtection="1">
      <protection hidden="1"/>
    </xf>
    <xf numFmtId="0" fontId="8" fillId="3" borderId="1" xfId="2" applyFont="1" applyFill="1" applyBorder="1" applyAlignment="1" applyProtection="1">
      <alignment vertical="center" wrapText="1"/>
      <protection hidden="1"/>
    </xf>
    <xf numFmtId="14" fontId="21" fillId="4" borderId="2" xfId="2" applyNumberFormat="1" applyFont="1" applyFill="1" applyBorder="1" applyAlignment="1" applyProtection="1">
      <alignment vertical="center" wrapText="1"/>
      <protection hidden="1"/>
    </xf>
    <xf numFmtId="0" fontId="22" fillId="3" borderId="2" xfId="2" applyFont="1" applyFill="1" applyBorder="1" applyAlignment="1" applyProtection="1">
      <alignment vertical="center" wrapText="1"/>
      <protection hidden="1"/>
    </xf>
    <xf numFmtId="0" fontId="21" fillId="4" borderId="3" xfId="2" applyFont="1" applyFill="1" applyBorder="1" applyAlignment="1" applyProtection="1">
      <alignment vertical="center" wrapText="1"/>
      <protection hidden="1"/>
    </xf>
    <xf numFmtId="14" fontId="0" fillId="2" borderId="0" xfId="0" applyNumberFormat="1" applyFill="1" applyAlignment="1" applyProtection="1">
      <alignment horizontal="center"/>
      <protection hidden="1"/>
    </xf>
    <xf numFmtId="0" fontId="0" fillId="5" borderId="16" xfId="0" applyFill="1" applyBorder="1" applyAlignment="1" applyProtection="1">
      <alignment wrapText="1"/>
      <protection hidden="1"/>
    </xf>
    <xf numFmtId="0" fontId="0" fillId="7" borderId="16" xfId="0" applyFill="1" applyBorder="1" applyAlignment="1" applyProtection="1">
      <alignment vertical="top"/>
      <protection hidden="1"/>
    </xf>
    <xf numFmtId="0" fontId="0" fillId="8" borderId="16" xfId="0" applyFill="1" applyBorder="1" applyProtection="1">
      <protection hidden="1"/>
    </xf>
    <xf numFmtId="0" fontId="0" fillId="8" borderId="16" xfId="0" applyFill="1" applyBorder="1" applyAlignment="1" applyProtection="1">
      <alignment vertical="top" wrapText="1"/>
      <protection hidden="1"/>
    </xf>
    <xf numFmtId="4" fontId="0" fillId="8" borderId="16" xfId="0" applyNumberFormat="1" applyFill="1" applyBorder="1" applyProtection="1">
      <protection hidden="1"/>
    </xf>
    <xf numFmtId="0" fontId="8" fillId="3" borderId="4" xfId="2" applyFont="1" applyFill="1" applyBorder="1" applyAlignment="1" applyProtection="1">
      <alignment vertical="center" wrapText="1"/>
      <protection hidden="1"/>
    </xf>
    <xf numFmtId="0" fontId="22" fillId="3" borderId="0" xfId="2" applyFont="1" applyFill="1" applyAlignment="1" applyProtection="1">
      <alignment vertical="center" wrapText="1"/>
      <protection hidden="1"/>
    </xf>
    <xf numFmtId="0" fontId="0" fillId="2" borderId="0" xfId="0" applyFill="1" applyAlignment="1" applyProtection="1">
      <alignment horizontal="center"/>
      <protection hidden="1"/>
    </xf>
    <xf numFmtId="0" fontId="8" fillId="3" borderId="6" xfId="2" applyFont="1" applyFill="1" applyBorder="1" applyAlignment="1" applyProtection="1">
      <alignment vertical="center" wrapText="1"/>
      <protection hidden="1"/>
    </xf>
    <xf numFmtId="0" fontId="5" fillId="5" borderId="16" xfId="2" applyFont="1" applyFill="1" applyBorder="1" applyAlignment="1" applyProtection="1">
      <alignment vertical="center"/>
      <protection hidden="1"/>
    </xf>
    <xf numFmtId="17" fontId="0" fillId="5" borderId="16" xfId="0" applyNumberFormat="1" applyFill="1" applyBorder="1" applyAlignment="1" applyProtection="1">
      <alignment wrapText="1"/>
      <protection hidden="1"/>
    </xf>
    <xf numFmtId="17" fontId="0" fillId="5" borderId="16" xfId="0" applyNumberFormat="1" applyFill="1" applyBorder="1" applyProtection="1">
      <protection hidden="1"/>
    </xf>
    <xf numFmtId="0" fontId="2" fillId="2" borderId="0" xfId="0" applyFont="1" applyFill="1" applyAlignment="1" applyProtection="1">
      <alignment horizontal="center"/>
      <protection hidden="1"/>
    </xf>
    <xf numFmtId="0" fontId="5" fillId="4" borderId="0" xfId="2" applyFont="1" applyFill="1" applyAlignment="1" applyProtection="1">
      <alignment vertical="center"/>
      <protection hidden="1"/>
    </xf>
    <xf numFmtId="0" fontId="0" fillId="5" borderId="0" xfId="0" applyFill="1" applyProtection="1">
      <protection hidden="1"/>
    </xf>
    <xf numFmtId="0" fontId="6" fillId="5" borderId="0" xfId="2" applyFont="1" applyFill="1" applyAlignment="1" applyProtection="1">
      <alignment vertical="center"/>
      <protection hidden="1"/>
    </xf>
    <xf numFmtId="4" fontId="6" fillId="5" borderId="0" xfId="2" applyNumberFormat="1" applyFont="1" applyFill="1" applyAlignment="1" applyProtection="1">
      <alignment vertical="center"/>
      <protection hidden="1"/>
    </xf>
    <xf numFmtId="0" fontId="0" fillId="7" borderId="16" xfId="0" applyFill="1" applyBorder="1" applyAlignment="1" applyProtection="1">
      <alignment horizontal="right" vertical="top"/>
      <protection hidden="1"/>
    </xf>
    <xf numFmtId="0" fontId="0" fillId="7" borderId="16" xfId="1" applyNumberFormat="1" applyFont="1" applyFill="1" applyBorder="1" applyProtection="1">
      <protection hidden="1"/>
    </xf>
    <xf numFmtId="0" fontId="14" fillId="7" borderId="16" xfId="0" applyFont="1" applyFill="1" applyBorder="1" applyProtection="1">
      <protection hidden="1"/>
    </xf>
    <xf numFmtId="0" fontId="0" fillId="2" borderId="0" xfId="0" applyFill="1" applyAlignment="1" applyProtection="1">
      <alignment vertical="top"/>
      <protection hidden="1"/>
    </xf>
    <xf numFmtId="0" fontId="5" fillId="4" borderId="0" xfId="2" applyFont="1" applyFill="1" applyAlignment="1" applyProtection="1">
      <alignment vertical="center" wrapText="1"/>
      <protection hidden="1"/>
    </xf>
    <xf numFmtId="0" fontId="0" fillId="2" borderId="0" xfId="0" applyFill="1" applyAlignment="1" applyProtection="1">
      <alignment vertical="top" wrapText="1"/>
      <protection hidden="1"/>
    </xf>
    <xf numFmtId="0" fontId="5" fillId="7" borderId="16" xfId="2" applyFont="1" applyFill="1" applyBorder="1" applyAlignment="1" applyProtection="1">
      <alignment vertical="center"/>
      <protection hidden="1"/>
    </xf>
    <xf numFmtId="0" fontId="0" fillId="4" borderId="0" xfId="0" applyFill="1" applyAlignment="1" applyProtection="1">
      <alignment vertical="center"/>
      <protection hidden="1"/>
    </xf>
    <xf numFmtId="3" fontId="6" fillId="5" borderId="0" xfId="2" applyNumberFormat="1" applyFont="1" applyFill="1" applyAlignment="1" applyProtection="1">
      <alignment vertical="center"/>
      <protection hidden="1"/>
    </xf>
    <xf numFmtId="0" fontId="0" fillId="5" borderId="17" xfId="0" applyFill="1" applyBorder="1" applyAlignment="1" applyProtection="1">
      <alignment wrapText="1"/>
      <protection hidden="1"/>
    </xf>
    <xf numFmtId="0" fontId="0" fillId="5" borderId="17" xfId="0" applyFill="1" applyBorder="1" applyProtection="1">
      <protection hidden="1"/>
    </xf>
    <xf numFmtId="0" fontId="15" fillId="5" borderId="0" xfId="2" applyFont="1" applyFill="1" applyAlignment="1" applyProtection="1">
      <alignment vertical="center"/>
      <protection hidden="1"/>
    </xf>
    <xf numFmtId="0" fontId="5" fillId="7" borderId="16" xfId="2" applyFont="1" applyFill="1" applyBorder="1" applyAlignment="1" applyProtection="1">
      <alignment horizontal="left" vertical="center" wrapText="1" indent="1"/>
      <protection hidden="1"/>
    </xf>
    <xf numFmtId="0" fontId="23" fillId="4" borderId="0" xfId="2" applyFont="1" applyFill="1" applyAlignment="1" applyProtection="1">
      <alignment horizontal="left" vertical="center"/>
      <protection hidden="1"/>
    </xf>
    <xf numFmtId="0" fontId="23" fillId="4" borderId="0" xfId="2" applyFont="1" applyFill="1" applyAlignment="1" applyProtection="1">
      <alignment vertical="center"/>
      <protection hidden="1"/>
    </xf>
    <xf numFmtId="0" fontId="18" fillId="7" borderId="16" xfId="3" applyFill="1" applyBorder="1" applyProtection="1">
      <protection hidden="1"/>
    </xf>
    <xf numFmtId="0" fontId="5" fillId="5" borderId="0" xfId="2" applyFont="1" applyFill="1" applyAlignment="1" applyProtection="1">
      <alignment vertical="center"/>
      <protection hidden="1"/>
    </xf>
    <xf numFmtId="0" fontId="0" fillId="0" borderId="0" xfId="0" applyAlignment="1" applyProtection="1">
      <alignment wrapText="1"/>
      <protection hidden="1"/>
    </xf>
    <xf numFmtId="0" fontId="5" fillId="4" borderId="0" xfId="2" applyFont="1" applyFill="1" applyAlignment="1" applyProtection="1">
      <alignment horizontal="right" vertical="center"/>
      <protection hidden="1"/>
    </xf>
    <xf numFmtId="0" fontId="5" fillId="4" borderId="0" xfId="2" applyFont="1" applyFill="1" applyAlignment="1" applyProtection="1">
      <alignment horizontal="left" vertical="center" wrapText="1"/>
      <protection hidden="1"/>
    </xf>
    <xf numFmtId="0" fontId="5" fillId="4" borderId="12" xfId="2" applyFont="1" applyFill="1" applyBorder="1" applyAlignment="1" applyProtection="1">
      <alignment vertical="center"/>
      <protection hidden="1"/>
    </xf>
    <xf numFmtId="9" fontId="0" fillId="5" borderId="16" xfId="0" applyNumberFormat="1" applyFill="1" applyBorder="1" applyProtection="1">
      <protection hidden="1"/>
    </xf>
    <xf numFmtId="0" fontId="0" fillId="4" borderId="0" xfId="0" applyFill="1" applyAlignment="1" applyProtection="1">
      <alignment vertical="top"/>
      <protection hidden="1"/>
    </xf>
    <xf numFmtId="0" fontId="5" fillId="5" borderId="0" xfId="2" applyFont="1" applyFill="1" applyAlignment="1" applyProtection="1">
      <alignment vertical="center" wrapText="1"/>
      <protection hidden="1"/>
    </xf>
    <xf numFmtId="0" fontId="14" fillId="5" borderId="16" xfId="0" applyFont="1" applyFill="1" applyBorder="1" applyProtection="1">
      <protection hidden="1"/>
    </xf>
    <xf numFmtId="1" fontId="5" fillId="5" borderId="0" xfId="2" applyNumberFormat="1" applyFont="1" applyFill="1" applyAlignment="1" applyProtection="1">
      <alignment vertical="center"/>
      <protection hidden="1"/>
    </xf>
    <xf numFmtId="9" fontId="14" fillId="5" borderId="16" xfId="0" applyNumberFormat="1" applyFont="1" applyFill="1" applyBorder="1" applyProtection="1">
      <protection hidden="1"/>
    </xf>
    <xf numFmtId="0" fontId="14" fillId="5" borderId="0" xfId="0" applyFont="1" applyFill="1" applyProtection="1">
      <protection hidden="1"/>
    </xf>
    <xf numFmtId="0" fontId="5" fillId="4" borderId="0" xfId="2" applyFont="1" applyFill="1" applyAlignment="1" applyProtection="1">
      <alignment horizontal="center" vertical="center"/>
      <protection hidden="1"/>
    </xf>
    <xf numFmtId="0" fontId="5" fillId="4" borderId="0" xfId="2" applyFont="1" applyFill="1" applyAlignment="1" applyProtection="1">
      <alignment horizontal="left" vertical="center" wrapText="1" indent="1"/>
      <protection hidden="1"/>
    </xf>
    <xf numFmtId="4" fontId="5" fillId="4" borderId="0" xfId="2" applyNumberFormat="1" applyFont="1" applyFill="1" applyAlignment="1" applyProtection="1">
      <alignment vertical="center"/>
      <protection hidden="1"/>
    </xf>
    <xf numFmtId="2" fontId="0" fillId="8" borderId="16" xfId="0" applyNumberFormat="1" applyFill="1" applyBorder="1" applyProtection="1">
      <protection hidden="1"/>
    </xf>
    <xf numFmtId="0" fontId="0" fillId="4" borderId="0" xfId="0" applyFill="1" applyProtection="1">
      <protection hidden="1"/>
    </xf>
    <xf numFmtId="0" fontId="15" fillId="5" borderId="0" xfId="2" applyFont="1" applyFill="1" applyAlignment="1" applyProtection="1">
      <alignment vertical="top" wrapText="1"/>
      <protection hidden="1"/>
    </xf>
    <xf numFmtId="0" fontId="16" fillId="4" borderId="0" xfId="2" applyFont="1" applyFill="1" applyAlignment="1" applyProtection="1">
      <alignment horizontal="left" vertical="center" wrapText="1" indent="1"/>
      <protection hidden="1"/>
    </xf>
    <xf numFmtId="4" fontId="5" fillId="4" borderId="0" xfId="2" applyNumberFormat="1" applyFont="1" applyFill="1" applyProtection="1">
      <protection hidden="1"/>
    </xf>
    <xf numFmtId="0" fontId="5" fillId="4" borderId="0" xfId="2" applyFont="1" applyFill="1" applyProtection="1">
      <protection hidden="1"/>
    </xf>
    <xf numFmtId="0" fontId="15" fillId="5" borderId="0" xfId="2" applyFont="1" applyFill="1" applyAlignment="1" applyProtection="1">
      <alignment horizontal="left" vertical="center" wrapText="1"/>
      <protection hidden="1"/>
    </xf>
    <xf numFmtId="0" fontId="15" fillId="5" borderId="0" xfId="2" applyFont="1" applyFill="1" applyAlignment="1" applyProtection="1">
      <alignment horizontal="left" vertical="center"/>
      <protection hidden="1"/>
    </xf>
    <xf numFmtId="0" fontId="5" fillId="4" borderId="0" xfId="2" applyFont="1" applyFill="1" applyAlignment="1" applyProtection="1">
      <alignment horizontal="left" wrapText="1"/>
      <protection hidden="1"/>
    </xf>
    <xf numFmtId="4" fontId="5" fillId="2" borderId="0" xfId="2" applyNumberFormat="1" applyFont="1" applyFill="1" applyProtection="1">
      <protection hidden="1"/>
    </xf>
    <xf numFmtId="0" fontId="0" fillId="5" borderId="0" xfId="0" applyFill="1" applyAlignment="1" applyProtection="1">
      <alignment wrapText="1"/>
      <protection hidden="1"/>
    </xf>
    <xf numFmtId="0" fontId="0" fillId="7" borderId="0" xfId="0" applyFill="1" applyProtection="1">
      <protection hidden="1"/>
    </xf>
    <xf numFmtId="0" fontId="0" fillId="10" borderId="18" xfId="0" applyFill="1" applyBorder="1" applyProtection="1">
      <protection hidden="1"/>
    </xf>
    <xf numFmtId="0" fontId="0" fillId="10" borderId="19" xfId="0" applyFill="1" applyBorder="1" applyProtection="1">
      <protection hidden="1"/>
    </xf>
    <xf numFmtId="0" fontId="0" fillId="10" borderId="20" xfId="0" applyFill="1" applyBorder="1" applyProtection="1">
      <protection hidden="1"/>
    </xf>
    <xf numFmtId="0" fontId="0" fillId="10" borderId="21" xfId="0" applyFill="1" applyBorder="1" applyProtection="1">
      <protection hidden="1"/>
    </xf>
    <xf numFmtId="0" fontId="0" fillId="10" borderId="16" xfId="0" applyFill="1" applyBorder="1" applyProtection="1">
      <protection hidden="1"/>
    </xf>
    <xf numFmtId="0" fontId="0" fillId="10" borderId="22" xfId="0" applyFill="1" applyBorder="1" applyProtection="1">
      <protection hidden="1"/>
    </xf>
    <xf numFmtId="4" fontId="0" fillId="10" borderId="22" xfId="0" applyNumberFormat="1" applyFill="1" applyBorder="1" applyProtection="1">
      <protection hidden="1"/>
    </xf>
    <xf numFmtId="4" fontId="5" fillId="5" borderId="0" xfId="2" applyNumberFormat="1" applyFont="1" applyFill="1" applyAlignment="1" applyProtection="1">
      <alignment vertical="center"/>
      <protection hidden="1"/>
    </xf>
    <xf numFmtId="0" fontId="5" fillId="5" borderId="0" xfId="2" applyFont="1" applyFill="1" applyAlignment="1" applyProtection="1">
      <alignment vertical="top" wrapText="1"/>
      <protection hidden="1"/>
    </xf>
    <xf numFmtId="2" fontId="5" fillId="5" borderId="0" xfId="2" applyNumberFormat="1" applyFont="1" applyFill="1" applyAlignment="1" applyProtection="1">
      <alignment vertical="top" wrapText="1"/>
      <protection hidden="1"/>
    </xf>
    <xf numFmtId="0" fontId="5" fillId="4" borderId="0" xfId="2" applyFont="1" applyFill="1" applyAlignment="1" applyProtection="1">
      <alignment vertical="top" wrapText="1"/>
      <protection hidden="1"/>
    </xf>
    <xf numFmtId="0" fontId="15" fillId="5" borderId="0" xfId="2" applyFont="1" applyFill="1" applyAlignment="1" applyProtection="1">
      <alignment vertical="center" wrapText="1"/>
      <protection hidden="1"/>
    </xf>
    <xf numFmtId="0" fontId="5" fillId="4" borderId="0" xfId="2" applyFont="1" applyFill="1" applyAlignment="1" applyProtection="1">
      <alignment horizontal="left" vertical="center"/>
      <protection hidden="1"/>
    </xf>
    <xf numFmtId="9" fontId="0" fillId="8" borderId="16" xfId="1" applyFont="1" applyFill="1" applyBorder="1" applyProtection="1">
      <protection hidden="1"/>
    </xf>
    <xf numFmtId="4" fontId="0" fillId="2" borderId="0" xfId="0" applyNumberFormat="1" applyFill="1" applyProtection="1">
      <protection hidden="1"/>
    </xf>
    <xf numFmtId="0" fontId="6" fillId="2" borderId="0" xfId="2" applyFont="1" applyFill="1" applyAlignment="1" applyProtection="1">
      <alignment vertical="center"/>
      <protection hidden="1"/>
    </xf>
    <xf numFmtId="9" fontId="6" fillId="5" borderId="0" xfId="1" applyFont="1" applyFill="1" applyBorder="1" applyAlignment="1" applyProtection="1">
      <alignment vertical="center"/>
      <protection hidden="1"/>
    </xf>
    <xf numFmtId="0" fontId="10" fillId="5" borderId="0" xfId="2" applyFont="1" applyFill="1" applyAlignment="1" applyProtection="1">
      <alignment vertical="center" wrapText="1"/>
      <protection hidden="1"/>
    </xf>
    <xf numFmtId="4" fontId="10" fillId="5" borderId="0" xfId="2" applyNumberFormat="1" applyFont="1" applyFill="1" applyAlignment="1" applyProtection="1">
      <alignment vertical="center"/>
      <protection hidden="1"/>
    </xf>
    <xf numFmtId="0" fontId="10" fillId="5" borderId="0" xfId="2" applyFont="1" applyFill="1" applyAlignment="1" applyProtection="1">
      <alignment vertical="center"/>
      <protection hidden="1"/>
    </xf>
    <xf numFmtId="2" fontId="10" fillId="5" borderId="0" xfId="1" applyNumberFormat="1" applyFont="1" applyFill="1" applyBorder="1" applyAlignment="1" applyProtection="1">
      <alignment vertical="center"/>
      <protection hidden="1"/>
    </xf>
    <xf numFmtId="4" fontId="15" fillId="5" borderId="0" xfId="2" applyNumberFormat="1" applyFont="1" applyFill="1" applyAlignment="1" applyProtection="1">
      <alignment vertical="center"/>
      <protection hidden="1"/>
    </xf>
    <xf numFmtId="4" fontId="10" fillId="5" borderId="0" xfId="2" applyNumberFormat="1" applyFont="1" applyFill="1" applyAlignment="1" applyProtection="1">
      <alignment vertical="center" wrapText="1"/>
      <protection hidden="1"/>
    </xf>
    <xf numFmtId="4" fontId="15" fillId="5" borderId="0" xfId="2" applyNumberFormat="1" applyFont="1" applyFill="1" applyAlignment="1" applyProtection="1">
      <alignment vertical="center" wrapText="1"/>
      <protection hidden="1"/>
    </xf>
    <xf numFmtId="0" fontId="0" fillId="10" borderId="23" xfId="0" applyFill="1" applyBorder="1" applyProtection="1">
      <protection hidden="1"/>
    </xf>
    <xf numFmtId="0" fontId="0" fillId="10" borderId="24" xfId="0" applyFill="1" applyBorder="1" applyProtection="1">
      <protection hidden="1"/>
    </xf>
    <xf numFmtId="4" fontId="0" fillId="10" borderId="25" xfId="0" applyNumberFormat="1" applyFill="1" applyBorder="1" applyProtection="1">
      <protection hidden="1"/>
    </xf>
    <xf numFmtId="4" fontId="0" fillId="5" borderId="16" xfId="0" applyNumberFormat="1" applyFill="1" applyBorder="1" applyProtection="1">
      <protection hidden="1"/>
    </xf>
    <xf numFmtId="1" fontId="0" fillId="5" borderId="16" xfId="0" applyNumberFormat="1" applyFill="1" applyBorder="1" applyProtection="1">
      <protection hidden="1"/>
    </xf>
    <xf numFmtId="0" fontId="20" fillId="5" borderId="16" xfId="0" applyFont="1" applyFill="1" applyBorder="1" applyAlignment="1" applyProtection="1">
      <alignment vertical="center"/>
      <protection hidden="1"/>
    </xf>
    <xf numFmtId="0" fontId="0" fillId="9" borderId="18" xfId="0" applyFill="1" applyBorder="1" applyProtection="1">
      <protection hidden="1"/>
    </xf>
    <xf numFmtId="0" fontId="0" fillId="9" borderId="19" xfId="0" applyFill="1" applyBorder="1" applyProtection="1">
      <protection hidden="1"/>
    </xf>
    <xf numFmtId="0" fontId="0" fillId="9" borderId="20" xfId="0" applyFill="1" applyBorder="1" applyProtection="1">
      <protection hidden="1"/>
    </xf>
    <xf numFmtId="0" fontId="0" fillId="9" borderId="21" xfId="0" applyFill="1" applyBorder="1" applyProtection="1">
      <protection hidden="1"/>
    </xf>
    <xf numFmtId="0" fontId="0" fillId="9" borderId="16" xfId="0" applyFill="1" applyBorder="1" applyProtection="1">
      <protection hidden="1"/>
    </xf>
    <xf numFmtId="0" fontId="0" fillId="9" borderId="22" xfId="0" applyFill="1" applyBorder="1" applyProtection="1">
      <protection hidden="1"/>
    </xf>
    <xf numFmtId="4" fontId="0" fillId="9" borderId="16" xfId="0" applyNumberFormat="1" applyFill="1" applyBorder="1" applyProtection="1">
      <protection hidden="1"/>
    </xf>
    <xf numFmtId="0" fontId="0" fillId="9" borderId="23" xfId="0" applyFill="1" applyBorder="1" applyProtection="1">
      <protection hidden="1"/>
    </xf>
    <xf numFmtId="4" fontId="0" fillId="9" borderId="24" xfId="0" applyNumberFormat="1" applyFill="1" applyBorder="1" applyProtection="1">
      <protection hidden="1"/>
    </xf>
    <xf numFmtId="0" fontId="0" fillId="9" borderId="25" xfId="0" applyFill="1" applyBorder="1" applyProtection="1">
      <protection hidden="1"/>
    </xf>
    <xf numFmtId="49" fontId="0" fillId="0" borderId="0" xfId="0" applyNumberFormat="1" applyProtection="1">
      <protection hidden="1"/>
    </xf>
    <xf numFmtId="164" fontId="0" fillId="0" borderId="0" xfId="0" applyNumberFormat="1" applyProtection="1">
      <protection hidden="1"/>
    </xf>
    <xf numFmtId="49" fontId="0" fillId="0" borderId="0" xfId="0" applyNumberFormat="1" applyAlignment="1" applyProtection="1">
      <alignment horizontal="left"/>
      <protection hidden="1"/>
    </xf>
    <xf numFmtId="4" fontId="6" fillId="5" borderId="0" xfId="2" applyNumberFormat="1" applyFont="1" applyFill="1" applyAlignment="1" applyProtection="1">
      <alignment horizontal="right" vertical="center"/>
      <protection hidden="1"/>
    </xf>
    <xf numFmtId="0" fontId="6" fillId="4" borderId="0" xfId="2" applyFont="1" applyFill="1" applyAlignment="1" applyProtection="1">
      <alignment vertical="center"/>
      <protection hidden="1"/>
    </xf>
    <xf numFmtId="0" fontId="6" fillId="5" borderId="0" xfId="2" applyFont="1" applyFill="1" applyAlignment="1" applyProtection="1">
      <alignment vertical="center" wrapText="1"/>
      <protection hidden="1"/>
    </xf>
    <xf numFmtId="4" fontId="5" fillId="4" borderId="0" xfId="2" applyNumberFormat="1" applyFont="1" applyFill="1" applyAlignment="1" applyProtection="1">
      <alignment vertical="center" wrapText="1"/>
      <protection locked="0"/>
    </xf>
    <xf numFmtId="0" fontId="10" fillId="0" borderId="0" xfId="2" applyFont="1" applyAlignment="1" applyProtection="1">
      <alignment vertical="center" wrapText="1"/>
      <protection hidden="1"/>
    </xf>
    <xf numFmtId="4" fontId="10" fillId="0" borderId="0" xfId="2" applyNumberFormat="1" applyFont="1" applyAlignment="1" applyProtection="1">
      <alignment vertical="center" wrapText="1"/>
      <protection hidden="1"/>
    </xf>
    <xf numFmtId="0" fontId="19" fillId="4" borderId="0" xfId="3" applyFont="1" applyFill="1" applyAlignment="1" applyProtection="1">
      <alignment horizontal="left" vertical="top" wrapText="1"/>
      <protection hidden="1"/>
    </xf>
    <xf numFmtId="0" fontId="12" fillId="5" borderId="0" xfId="0" applyFont="1" applyFill="1" applyAlignment="1" applyProtection="1">
      <alignment horizontal="center"/>
      <protection hidden="1"/>
    </xf>
    <xf numFmtId="0" fontId="5" fillId="4" borderId="0" xfId="2" applyFont="1" applyFill="1" applyAlignment="1" applyProtection="1">
      <alignment horizontal="left" vertical="top" wrapText="1"/>
      <protection hidden="1"/>
    </xf>
    <xf numFmtId="0" fontId="23" fillId="4" borderId="0" xfId="2" applyFont="1" applyFill="1" applyAlignment="1" applyProtection="1">
      <alignment horizontal="left" vertical="center"/>
      <protection hidden="1"/>
    </xf>
    <xf numFmtId="0" fontId="6" fillId="4" borderId="0" xfId="2" applyFont="1" applyFill="1" applyAlignment="1" applyProtection="1">
      <alignment horizontal="center" vertical="center"/>
      <protection hidden="1"/>
    </xf>
    <xf numFmtId="0" fontId="6" fillId="11" borderId="13" xfId="2" applyFont="1" applyFill="1" applyBorder="1" applyAlignment="1" applyProtection="1">
      <alignment horizontal="left" vertical="top" wrapText="1"/>
      <protection hidden="1"/>
    </xf>
    <xf numFmtId="0" fontId="6" fillId="11" borderId="14" xfId="2" applyFont="1" applyFill="1" applyBorder="1" applyAlignment="1" applyProtection="1">
      <alignment horizontal="left" vertical="top" wrapText="1"/>
      <protection hidden="1"/>
    </xf>
    <xf numFmtId="0" fontId="6" fillId="11" borderId="14" xfId="2" applyFont="1" applyFill="1" applyBorder="1" applyAlignment="1" applyProtection="1">
      <alignment horizontal="left" vertical="top" wrapText="1"/>
      <protection locked="0"/>
    </xf>
    <xf numFmtId="0" fontId="6" fillId="11" borderId="15" xfId="2" applyFont="1" applyFill="1" applyBorder="1" applyAlignment="1" applyProtection="1">
      <alignment horizontal="left" vertical="top" wrapText="1"/>
      <protection locked="0"/>
    </xf>
    <xf numFmtId="0" fontId="8" fillId="3" borderId="13" xfId="2" applyFont="1" applyFill="1" applyBorder="1" applyAlignment="1" applyProtection="1">
      <alignment horizontal="center" vertical="center" wrapText="1"/>
      <protection hidden="1"/>
    </xf>
    <xf numFmtId="0" fontId="8" fillId="3" borderId="14" xfId="2" applyFont="1" applyFill="1" applyBorder="1" applyAlignment="1" applyProtection="1">
      <alignment horizontal="center" vertical="center" wrapText="1"/>
      <protection hidden="1"/>
    </xf>
    <xf numFmtId="0" fontId="8" fillId="3" borderId="15" xfId="2" applyFont="1" applyFill="1" applyBorder="1" applyAlignment="1" applyProtection="1">
      <alignment horizontal="center" vertical="center" wrapText="1"/>
      <protection hidden="1"/>
    </xf>
    <xf numFmtId="0" fontId="5" fillId="4" borderId="0" xfId="2" applyFont="1" applyFill="1" applyAlignment="1" applyProtection="1">
      <alignment horizontal="center" vertical="center"/>
      <protection hidden="1"/>
    </xf>
    <xf numFmtId="0" fontId="5" fillId="4" borderId="0" xfId="2" applyFont="1" applyFill="1" applyAlignment="1" applyProtection="1">
      <alignment horizontal="left" vertical="center"/>
      <protection hidden="1"/>
    </xf>
    <xf numFmtId="0" fontId="13" fillId="3" borderId="2" xfId="2" applyFont="1" applyFill="1" applyBorder="1" applyAlignment="1" applyProtection="1">
      <alignment horizontal="center" vertical="center" wrapText="1"/>
      <protection hidden="1"/>
    </xf>
    <xf numFmtId="0" fontId="5" fillId="4" borderId="0" xfId="2" applyFont="1" applyFill="1" applyAlignment="1" applyProtection="1">
      <alignment horizontal="center" vertical="center" wrapText="1"/>
      <protection hidden="1"/>
    </xf>
    <xf numFmtId="0" fontId="9" fillId="3" borderId="2" xfId="2" applyFont="1" applyFill="1" applyBorder="1" applyAlignment="1" applyProtection="1">
      <alignment horizontal="center" vertical="center" wrapText="1"/>
      <protection hidden="1"/>
    </xf>
    <xf numFmtId="4" fontId="5" fillId="5" borderId="0" xfId="2" applyNumberFormat="1" applyFont="1" applyFill="1" applyAlignment="1" applyProtection="1">
      <alignment horizontal="left" vertical="center"/>
      <protection hidden="1"/>
    </xf>
    <xf numFmtId="0" fontId="5" fillId="4" borderId="0" xfId="2" applyFont="1" applyFill="1" applyAlignment="1" applyProtection="1">
      <alignment horizontal="left" vertical="center" wrapText="1"/>
      <protection hidden="1"/>
    </xf>
    <xf numFmtId="0" fontId="1" fillId="7" borderId="0" xfId="0" applyFont="1" applyFill="1" applyAlignment="1" applyProtection="1">
      <alignment horizontal="center"/>
      <protection hidden="1"/>
    </xf>
    <xf numFmtId="0" fontId="0" fillId="7" borderId="16" xfId="0" applyFill="1" applyBorder="1" applyAlignment="1" applyProtection="1">
      <alignment horizontal="left" vertical="top" wrapText="1"/>
      <protection hidden="1"/>
    </xf>
    <xf numFmtId="0" fontId="12" fillId="5" borderId="16" xfId="0" applyFont="1" applyFill="1" applyBorder="1" applyAlignment="1" applyProtection="1">
      <alignment horizontal="center"/>
      <protection hidden="1"/>
    </xf>
    <xf numFmtId="0" fontId="1" fillId="8" borderId="1" xfId="0" applyFont="1" applyFill="1" applyBorder="1" applyAlignment="1" applyProtection="1">
      <alignment horizontal="left" vertical="top" wrapText="1"/>
      <protection hidden="1"/>
    </xf>
    <xf numFmtId="0" fontId="1" fillId="8" borderId="2" xfId="0" applyFont="1" applyFill="1" applyBorder="1" applyAlignment="1" applyProtection="1">
      <alignment horizontal="left" vertical="top" wrapText="1"/>
      <protection hidden="1"/>
    </xf>
    <xf numFmtId="0" fontId="1" fillId="8" borderId="3" xfId="0" applyFont="1" applyFill="1" applyBorder="1" applyAlignment="1" applyProtection="1">
      <alignment horizontal="left" vertical="top" wrapText="1"/>
      <protection hidden="1"/>
    </xf>
    <xf numFmtId="0" fontId="1" fillId="8" borderId="4" xfId="0" applyFont="1" applyFill="1" applyBorder="1" applyAlignment="1" applyProtection="1">
      <alignment horizontal="left" vertical="top" wrapText="1"/>
      <protection hidden="1"/>
    </xf>
    <xf numFmtId="0" fontId="1" fillId="8" borderId="0" xfId="0" applyFont="1" applyFill="1" applyAlignment="1" applyProtection="1">
      <alignment horizontal="left" vertical="top" wrapText="1"/>
      <protection hidden="1"/>
    </xf>
    <xf numFmtId="0" fontId="1" fillId="8" borderId="5" xfId="0" applyFont="1" applyFill="1" applyBorder="1" applyAlignment="1" applyProtection="1">
      <alignment horizontal="left" vertical="top" wrapText="1"/>
      <protection hidden="1"/>
    </xf>
    <xf numFmtId="0" fontId="1" fillId="8" borderId="6" xfId="0" applyFont="1" applyFill="1" applyBorder="1" applyAlignment="1" applyProtection="1">
      <alignment horizontal="left" vertical="top" wrapText="1"/>
      <protection hidden="1"/>
    </xf>
    <xf numFmtId="0" fontId="1" fillId="8" borderId="7" xfId="0" applyFont="1" applyFill="1" applyBorder="1" applyAlignment="1" applyProtection="1">
      <alignment horizontal="left" vertical="top" wrapText="1"/>
      <protection hidden="1"/>
    </xf>
    <xf numFmtId="0" fontId="1" fillId="8" borderId="8" xfId="0" applyFont="1" applyFill="1" applyBorder="1" applyAlignment="1" applyProtection="1">
      <alignment horizontal="left" vertical="top" wrapText="1"/>
      <protection hidden="1"/>
    </xf>
    <xf numFmtId="0" fontId="7" fillId="3" borderId="2" xfId="2" applyFont="1" applyFill="1" applyBorder="1" applyAlignment="1" applyProtection="1">
      <alignment horizontal="center" vertical="center" wrapText="1"/>
      <protection hidden="1"/>
    </xf>
    <xf numFmtId="0" fontId="7" fillId="3" borderId="9" xfId="2" applyFont="1" applyFill="1" applyBorder="1" applyAlignment="1" applyProtection="1">
      <alignment horizontal="center" vertical="center" wrapText="1"/>
      <protection hidden="1"/>
    </xf>
    <xf numFmtId="49" fontId="21" fillId="4" borderId="0" xfId="0" applyNumberFormat="1" applyFont="1" applyFill="1" applyAlignment="1" applyProtection="1">
      <alignment horizontal="left"/>
      <protection locked="0"/>
    </xf>
    <xf numFmtId="49" fontId="21" fillId="4" borderId="5" xfId="0" applyNumberFormat="1" applyFont="1" applyFill="1" applyBorder="1" applyAlignment="1" applyProtection="1">
      <alignment horizontal="left"/>
      <protection locked="0"/>
    </xf>
    <xf numFmtId="0" fontId="21" fillId="4" borderId="7" xfId="0" applyFont="1" applyFill="1" applyBorder="1" applyAlignment="1" applyProtection="1">
      <alignment horizontal="left"/>
      <protection locked="0"/>
    </xf>
    <xf numFmtId="0" fontId="21" fillId="4" borderId="8" xfId="0" applyFont="1" applyFill="1" applyBorder="1" applyAlignment="1" applyProtection="1">
      <alignment horizontal="left"/>
      <protection locked="0"/>
    </xf>
    <xf numFmtId="0" fontId="5" fillId="6" borderId="2" xfId="2" applyFont="1" applyFill="1" applyBorder="1" applyAlignment="1" applyProtection="1">
      <alignment horizontal="left" vertical="top" wrapText="1"/>
      <protection hidden="1"/>
    </xf>
    <xf numFmtId="0" fontId="5" fillId="6" borderId="9" xfId="2" applyFont="1" applyFill="1" applyBorder="1" applyAlignment="1" applyProtection="1">
      <alignment horizontal="left" vertical="top" wrapText="1"/>
      <protection hidden="1"/>
    </xf>
    <xf numFmtId="0" fontId="5" fillId="6" borderId="0" xfId="2" applyFont="1" applyFill="1" applyAlignment="1" applyProtection="1">
      <alignment horizontal="left" vertical="top" wrapText="1"/>
      <protection hidden="1"/>
    </xf>
    <xf numFmtId="0" fontId="5" fillId="6" borderId="10" xfId="2" applyFont="1" applyFill="1" applyBorder="1" applyAlignment="1" applyProtection="1">
      <alignment horizontal="left" vertical="top" wrapText="1"/>
      <protection hidden="1"/>
    </xf>
    <xf numFmtId="0" fontId="21" fillId="4" borderId="0" xfId="0" applyFont="1" applyFill="1" applyAlignment="1" applyProtection="1">
      <alignment horizontal="left"/>
      <protection locked="0"/>
    </xf>
    <xf numFmtId="0" fontId="0" fillId="0" borderId="0" xfId="0" applyAlignment="1" applyProtection="1">
      <alignment horizontal="left" vertical="top" wrapText="1"/>
      <protection hidden="1"/>
    </xf>
    <xf numFmtId="49" fontId="21" fillId="4" borderId="2" xfId="2" applyNumberFormat="1" applyFont="1" applyFill="1" applyBorder="1" applyAlignment="1" applyProtection="1">
      <alignment horizontal="center" vertical="center" wrapText="1"/>
      <protection locked="0"/>
    </xf>
    <xf numFmtId="0" fontId="1" fillId="5" borderId="11" xfId="0" applyFont="1" applyFill="1" applyBorder="1" applyAlignment="1" applyProtection="1">
      <alignment horizontal="center"/>
      <protection hidden="1"/>
    </xf>
    <xf numFmtId="0" fontId="5" fillId="0" borderId="0" xfId="2" applyFont="1" applyAlignment="1" applyProtection="1">
      <alignment horizontal="left" vertical="center" wrapText="1"/>
      <protection hidden="1"/>
    </xf>
    <xf numFmtId="0" fontId="10" fillId="0" borderId="0" xfId="2" applyFont="1" applyAlignment="1" applyProtection="1">
      <alignment horizontal="left" vertical="center" wrapText="1"/>
      <protection hidden="1"/>
    </xf>
    <xf numFmtId="0" fontId="16" fillId="5" borderId="0" xfId="2" applyFont="1" applyFill="1" applyAlignment="1" applyProtection="1">
      <alignment horizontal="left" vertical="top" wrapText="1"/>
      <protection hidden="1"/>
    </xf>
    <xf numFmtId="0" fontId="15" fillId="5" borderId="0" xfId="2" applyFont="1" applyFill="1" applyAlignment="1" applyProtection="1">
      <alignment horizontal="left" vertical="top" wrapText="1"/>
      <protection hidden="1"/>
    </xf>
    <xf numFmtId="0" fontId="6" fillId="11" borderId="13" xfId="2" applyFont="1" applyFill="1" applyBorder="1" applyAlignment="1" applyProtection="1">
      <alignment horizontal="left" vertical="top"/>
      <protection hidden="1"/>
    </xf>
    <xf numFmtId="0" fontId="15" fillId="11" borderId="14" xfId="2" applyFont="1" applyFill="1" applyBorder="1" applyAlignment="1" applyProtection="1">
      <alignment horizontal="left" vertical="top"/>
      <protection hidden="1"/>
    </xf>
    <xf numFmtId="0" fontId="15" fillId="11" borderId="14" xfId="2" applyFont="1" applyFill="1" applyBorder="1" applyAlignment="1" applyProtection="1">
      <alignment horizontal="left" vertical="top" wrapText="1"/>
      <protection locked="0"/>
    </xf>
    <xf numFmtId="0" fontId="15" fillId="11" borderId="15" xfId="2" applyFont="1" applyFill="1" applyBorder="1" applyAlignment="1" applyProtection="1">
      <alignment horizontal="left" vertical="top" wrapText="1"/>
      <protection locked="0"/>
    </xf>
    <xf numFmtId="0" fontId="5" fillId="5" borderId="0" xfId="2" applyFont="1" applyFill="1" applyAlignment="1" applyProtection="1">
      <alignment horizontal="center" vertical="center"/>
      <protection hidden="1"/>
    </xf>
    <xf numFmtId="0" fontId="16" fillId="4" borderId="0" xfId="2" applyFont="1" applyFill="1" applyAlignment="1" applyProtection="1">
      <alignment horizontal="left" vertical="center" wrapText="1"/>
      <protection hidden="1"/>
    </xf>
    <xf numFmtId="0" fontId="5" fillId="4" borderId="7" xfId="2" applyFont="1" applyFill="1" applyBorder="1" applyAlignment="1" applyProtection="1">
      <alignment horizontal="left" vertical="center"/>
      <protection hidden="1"/>
    </xf>
  </cellXfs>
  <cellStyles count="4">
    <cellStyle name="Link" xfId="3" builtinId="8"/>
    <cellStyle name="Prozent" xfId="1" builtinId="5"/>
    <cellStyle name="Standard" xfId="0" builtinId="0"/>
    <cellStyle name="Standard 17 3 3" xfId="2"/>
  </cellStyles>
  <dxfs count="50">
    <dxf>
      <font>
        <b val="0"/>
        <i/>
      </font>
      <fill>
        <patternFill>
          <bgColor theme="4" tint="0.79998168889431442"/>
        </patternFill>
      </fill>
    </dxf>
    <dxf>
      <fill>
        <patternFill>
          <bgColor theme="4" tint="0.79998168889431442"/>
        </patternFill>
      </fill>
    </dxf>
    <dxf>
      <font>
        <color theme="5"/>
      </font>
      <fill>
        <patternFill>
          <bgColor theme="7" tint="0.79998168889431442"/>
        </patternFill>
      </fill>
    </dxf>
    <dxf>
      <font>
        <color theme="5"/>
      </font>
      <fill>
        <patternFill>
          <bgColor theme="7"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ill>
        <patternFill>
          <bgColor theme="4" tint="0.79998168889431442"/>
        </patternFill>
      </fill>
    </dxf>
    <dxf>
      <font>
        <b val="0"/>
        <i/>
      </font>
      <fill>
        <patternFill>
          <bgColor theme="4" tint="0.79998168889431442"/>
        </patternFill>
      </fill>
    </dxf>
    <dxf>
      <font>
        <color theme="5"/>
      </font>
      <fill>
        <patternFill>
          <bgColor theme="7" tint="0.79998168889431442"/>
        </patternFill>
      </fill>
    </dxf>
    <dxf>
      <font>
        <color theme="5"/>
      </font>
      <fill>
        <patternFill>
          <bgColor theme="7"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color theme="0" tint="-4.9989318521683403E-2"/>
      </font>
    </dxf>
    <dxf>
      <font>
        <b/>
        <i val="0"/>
      </font>
      <fill>
        <patternFill>
          <bgColor theme="0" tint="-0.14996795556505021"/>
        </patternFill>
      </fill>
    </dxf>
    <dxf>
      <font>
        <b val="0"/>
        <i val="0"/>
      </font>
      <fill>
        <patternFill>
          <bgColor theme="0" tint="-4.9989318521683403E-2"/>
        </patternFill>
      </fill>
    </dxf>
    <dxf>
      <font>
        <b/>
        <i val="0"/>
      </font>
      <fill>
        <patternFill>
          <bgColor theme="0" tint="-0.14996795556505021"/>
        </patternFill>
      </fill>
    </dxf>
    <dxf>
      <font>
        <b val="0"/>
        <i val="0"/>
      </font>
      <fill>
        <patternFill>
          <bgColor theme="0" tint="-4.9989318521683403E-2"/>
        </patternFill>
      </fill>
    </dxf>
    <dxf>
      <font>
        <color theme="0" tint="-4.9989318521683403E-2"/>
      </font>
      <fill>
        <patternFill>
          <bgColor theme="0" tint="-4.9989318521683403E-2"/>
        </patternFill>
      </fill>
    </dxf>
    <dxf>
      <font>
        <color rgb="FF9C0006"/>
      </font>
      <fill>
        <patternFill>
          <bgColor rgb="FFFFC7CE"/>
        </patternFill>
      </fill>
    </dxf>
    <dxf>
      <font>
        <color rgb="FF9C0006"/>
      </font>
      <fill>
        <patternFill>
          <bgColor rgb="FFFFC7CE"/>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color theme="5"/>
      </font>
      <fill>
        <patternFill>
          <bgColor theme="7" tint="0.79998168889431442"/>
        </patternFill>
      </fill>
    </dxf>
    <dxf>
      <font>
        <color theme="5"/>
      </font>
      <fill>
        <patternFill>
          <bgColor theme="7" tint="0.79998168889431442"/>
        </patternFill>
      </fill>
    </dxf>
    <dxf>
      <font>
        <color theme="5"/>
      </font>
      <fill>
        <patternFill>
          <bgColor theme="7" tint="0.79998168889431442"/>
        </patternFill>
      </fill>
    </dxf>
    <dxf>
      <font>
        <color theme="5"/>
      </font>
      <fill>
        <patternFill>
          <bgColor theme="7" tint="0.79998168889431442"/>
        </patternFill>
      </fill>
    </dxf>
    <dxf>
      <font>
        <b val="0"/>
        <i/>
      </font>
      <fill>
        <patternFill>
          <bgColor theme="4" tint="0.79998168889431442"/>
        </patternFill>
      </fill>
    </dxf>
    <dxf>
      <font>
        <color theme="5"/>
      </font>
      <fill>
        <patternFill>
          <bgColor theme="7" tint="0.79998168889431442"/>
        </patternFill>
      </fill>
    </dxf>
    <dxf>
      <font>
        <color theme="0" tint="-4.9989318521683403E-2"/>
      </font>
    </dxf>
    <dxf>
      <font>
        <color rgb="FF9C0006"/>
      </font>
      <fill>
        <patternFill>
          <bgColor rgb="FFFFC7CE"/>
        </patternFill>
      </fill>
    </dxf>
    <dxf>
      <font>
        <color rgb="FF9C0006"/>
      </font>
      <fill>
        <patternFill>
          <bgColor rgb="FFFFC7CE"/>
        </patternFill>
      </fill>
    </dxf>
    <dxf>
      <font>
        <color theme="0" tint="-4.9989318521683403E-2"/>
      </font>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b/>
        <i val="0"/>
      </font>
      <fill>
        <patternFill>
          <bgColor theme="0" tint="-0.14996795556505021"/>
        </patternFill>
      </fill>
    </dxf>
    <dxf>
      <font>
        <b val="0"/>
        <i val="0"/>
      </font>
      <fill>
        <patternFill>
          <bgColor theme="0" tint="-4.9989318521683403E-2"/>
        </patternFill>
      </fill>
    </dxf>
    <dxf>
      <font>
        <b/>
        <i val="0"/>
      </font>
      <fill>
        <patternFill>
          <bgColor theme="0" tint="-0.14996795556505021"/>
        </patternFill>
      </fill>
    </dxf>
    <dxf>
      <font>
        <b val="0"/>
        <i val="0"/>
      </font>
      <fill>
        <patternFill>
          <bgColor theme="0" tint="-4.9989318521683403E-2"/>
        </patternFill>
      </fill>
    </dxf>
  </dxfs>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4"/>
    </mc:Choice>
    <mc:Fallback>
      <c:style val="4"/>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1"/>
          <c:order val="0"/>
          <c:tx>
            <c:strRef>
              <c:f>Tabelle1!$R$152</c:f>
              <c:strCache>
                <c:ptCount val="1"/>
                <c:pt idx="0">
                  <c:v>Kapitalwert NVP</c:v>
                </c:pt>
              </c:strCache>
            </c:strRef>
          </c:tx>
          <c:spPr>
            <a:solidFill>
              <a:schemeClr val="accent2">
                <a:tint val="77000"/>
              </a:schemeClr>
            </a:solidFill>
            <a:ln>
              <a:noFill/>
            </a:ln>
            <a:effectLst/>
          </c:spPr>
          <c:invertIfNegative val="0"/>
          <c:cat>
            <c:numRef>
              <c:f>Tabelle1!$K$75:$K$125</c:f>
              <c:numCache>
                <c:formatCode>General</c:formatCode>
                <c:ptCount val="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cat>
          <c:val>
            <c:numRef>
              <c:f>Tabelle1!$T$75:$T$100</c:f>
              <c:numCache>
                <c:formatCode>#,##0.00</c:formatCode>
                <c:ptCount val="26"/>
                <c:pt idx="0">
                  <c:v>-895</c:v>
                </c:pt>
                <c:pt idx="1">
                  <c:v>-1788.2536585365854</c:v>
                </c:pt>
                <c:pt idx="2">
                  <c:v>-2679.7643831052942</c:v>
                </c:pt>
                <c:pt idx="3">
                  <c:v>-3569.5355745528932</c:v>
                </c:pt>
                <c:pt idx="4">
                  <c:v>-4457.5706270903511</c:v>
                </c:pt>
                <c:pt idx="5">
                  <c:v>-5343.8729283057846</c:v>
                </c:pt>
                <c:pt idx="6">
                  <c:v>-6228.4458591773828</c:v>
                </c:pt>
                <c:pt idx="7">
                  <c:v>-7111.2927940863046</c:v>
                </c:pt>
                <c:pt idx="8">
                  <c:v>-7992.4171008295507</c:v>
                </c:pt>
                <c:pt idx="9">
                  <c:v>-8871.8221406328103</c:v>
                </c:pt>
                <c:pt idx="10">
                  <c:v>-9749.5112681632818</c:v>
                </c:pt>
                <c:pt idx="11">
                  <c:v>-10625.487831542476</c:v>
                </c:pt>
                <c:pt idx="12">
                  <c:v>-11499.755172358979</c:v>
                </c:pt>
                <c:pt idx="13">
                  <c:v>-12372.316625681204</c:v>
                </c:pt>
                <c:pt idx="14">
                  <c:v>-13243.175520070119</c:v>
                </c:pt>
                <c:pt idx="15">
                  <c:v>-14112.335177591933</c:v>
                </c:pt>
                <c:pt idx="16">
                  <c:v>-14979.798913830777</c:v>
                </c:pt>
                <c:pt idx="17">
                  <c:v>-15845.570037901351</c:v>
                </c:pt>
                <c:pt idx="18">
                  <c:v>-16709.651852461542</c:v>
                </c:pt>
                <c:pt idx="19">
                  <c:v>-17572.047653725032</c:v>
                </c:pt>
                <c:pt idx="20">
                  <c:v>-18432.76073147386</c:v>
                </c:pt>
                <c:pt idx="21">
                  <c:v>-19291.794369070984</c:v>
                </c:pt>
                <c:pt idx="22">
                  <c:v>-20149.151843472795</c:v>
                </c:pt>
                <c:pt idx="23">
                  <c:v>-21004.836425241629</c:v>
                </c:pt>
                <c:pt idx="24">
                  <c:v>-21858.851378558229</c:v>
                </c:pt>
                <c:pt idx="25">
                  <c:v>-22711.199961234212</c:v>
                </c:pt>
              </c:numCache>
            </c:numRef>
          </c:val>
          <c:extLst>
            <c:ext xmlns:c16="http://schemas.microsoft.com/office/drawing/2014/chart" uri="{C3380CC4-5D6E-409C-BE32-E72D297353CC}">
              <c16:uniqueId val="{00000002-E554-4BDB-A596-A87530FFAEAD}"/>
            </c:ext>
          </c:extLst>
        </c:ser>
        <c:dLbls>
          <c:showLegendKey val="0"/>
          <c:showVal val="0"/>
          <c:showCatName val="0"/>
          <c:showSerName val="0"/>
          <c:showPercent val="0"/>
          <c:showBubbleSize val="0"/>
        </c:dLbls>
        <c:gapWidth val="219"/>
        <c:axId val="701881952"/>
        <c:axId val="701890592"/>
      </c:barChart>
      <c:catAx>
        <c:axId val="7018819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Jahre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01890592"/>
        <c:crosses val="autoZero"/>
        <c:auto val="1"/>
        <c:lblAlgn val="ctr"/>
        <c:lblOffset val="0"/>
        <c:noMultiLvlLbl val="0"/>
      </c:catAx>
      <c:valAx>
        <c:axId val="7018905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01881952"/>
        <c:crosses val="autoZero"/>
        <c:crossBetween val="between"/>
      </c:valAx>
      <c:spPr>
        <a:noFill/>
        <a:ln w="25400">
          <a:noFill/>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Kosten nach Nutzung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0"/>
          <c:order val="0"/>
          <c:tx>
            <c:strRef>
              <c:f>Tabelle1!$L$137</c:f>
              <c:strCache>
                <c:ptCount val="1"/>
                <c:pt idx="0">
                  <c:v>Investkosten </c:v>
                </c:pt>
              </c:strCache>
            </c:strRef>
          </c:tx>
          <c:spPr>
            <a:solidFill>
              <a:schemeClr val="accent2"/>
            </a:solidFill>
            <a:ln>
              <a:noFill/>
            </a:ln>
            <a:effectLst/>
          </c:spPr>
          <c:invertIfNegative val="0"/>
          <c:cat>
            <c:strRef>
              <c:f>Tabelle1!$K$138:$K$140</c:f>
              <c:strCache>
                <c:ptCount val="3"/>
                <c:pt idx="0">
                  <c:v>PV-Anlage</c:v>
                </c:pt>
                <c:pt idx="1">
                  <c:v>E-Ladesäulen </c:v>
                </c:pt>
                <c:pt idx="2">
                  <c:v>Speicher</c:v>
                </c:pt>
              </c:strCache>
            </c:strRef>
          </c:cat>
          <c:val>
            <c:numRef>
              <c:f>Tabelle1!$L$138:$L$140</c:f>
              <c:numCache>
                <c:formatCode>#,##0.00</c:formatCode>
                <c:ptCount val="3"/>
                <c:pt idx="0">
                  <c:v>0</c:v>
                </c:pt>
                <c:pt idx="1">
                  <c:v>0</c:v>
                </c:pt>
                <c:pt idx="2">
                  <c:v>0</c:v>
                </c:pt>
              </c:numCache>
            </c:numRef>
          </c:val>
          <c:extLst>
            <c:ext xmlns:c16="http://schemas.microsoft.com/office/drawing/2014/chart" uri="{C3380CC4-5D6E-409C-BE32-E72D297353CC}">
              <c16:uniqueId val="{00000000-45EF-428C-838D-84DFE3AFDD42}"/>
            </c:ext>
          </c:extLst>
        </c:ser>
        <c:ser>
          <c:idx val="1"/>
          <c:order val="1"/>
          <c:tx>
            <c:strRef>
              <c:f>Tabelle1!$M$137</c:f>
              <c:strCache>
                <c:ptCount val="1"/>
                <c:pt idx="0">
                  <c:v>Cashflow (nach 25 Jahren)</c:v>
                </c:pt>
              </c:strCache>
            </c:strRef>
          </c:tx>
          <c:spPr>
            <a:solidFill>
              <a:schemeClr val="accent4"/>
            </a:solidFill>
            <a:ln>
              <a:noFill/>
            </a:ln>
            <a:effectLst/>
          </c:spPr>
          <c:invertIfNegative val="0"/>
          <c:cat>
            <c:strRef>
              <c:f>Tabelle1!$K$138:$K$140</c:f>
              <c:strCache>
                <c:ptCount val="3"/>
                <c:pt idx="0">
                  <c:v>PV-Anlage</c:v>
                </c:pt>
                <c:pt idx="1">
                  <c:v>E-Ladesäulen </c:v>
                </c:pt>
                <c:pt idx="2">
                  <c:v>Speicher</c:v>
                </c:pt>
              </c:strCache>
            </c:strRef>
          </c:cat>
          <c:val>
            <c:numRef>
              <c:f>Tabelle1!$M$138:$M$140</c:f>
              <c:numCache>
                <c:formatCode>#,##0.00</c:formatCode>
                <c:ptCount val="3"/>
                <c:pt idx="0">
                  <c:v>0.6852066245653905</c:v>
                </c:pt>
                <c:pt idx="1">
                  <c:v>0</c:v>
                </c:pt>
                <c:pt idx="2">
                  <c:v>0</c:v>
                </c:pt>
              </c:numCache>
            </c:numRef>
          </c:val>
          <c:extLst>
            <c:ext xmlns:c16="http://schemas.microsoft.com/office/drawing/2014/chart" uri="{C3380CC4-5D6E-409C-BE32-E72D297353CC}">
              <c16:uniqueId val="{00000001-45EF-428C-838D-84DFE3AFDD42}"/>
            </c:ext>
          </c:extLst>
        </c:ser>
        <c:dLbls>
          <c:showLegendKey val="0"/>
          <c:showVal val="0"/>
          <c:showCatName val="0"/>
          <c:showSerName val="0"/>
          <c:showPercent val="0"/>
          <c:showBubbleSize val="0"/>
        </c:dLbls>
        <c:gapWidth val="182"/>
        <c:axId val="874735776"/>
        <c:axId val="874737696"/>
      </c:barChart>
      <c:catAx>
        <c:axId val="8747357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74737696"/>
        <c:crosses val="autoZero"/>
        <c:auto val="1"/>
        <c:lblAlgn val="ctr"/>
        <c:lblOffset val="100"/>
        <c:noMultiLvlLbl val="0"/>
      </c:catAx>
      <c:valAx>
        <c:axId val="87473769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 Tsd. Euro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74735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Spin" dx="31" fmlaLink="$B$33" max="100" page="10" val="20"/>
</file>

<file path=xl/ctrlProps/ctrlProp10.xml><?xml version="1.0" encoding="utf-8"?>
<formControlPr xmlns="http://schemas.microsoft.com/office/spreadsheetml/2009/9/main" objectType="Spin" dx="31" fmlaLink="$B$15" max="100" page="10" val="100"/>
</file>

<file path=xl/ctrlProps/ctrlProp11.xml><?xml version="1.0" encoding="utf-8"?>
<formControlPr xmlns="http://schemas.microsoft.com/office/spreadsheetml/2009/9/main" objectType="Spin" dx="31" fmlaLink="$E$31" max="100" page="10" val="0"/>
</file>

<file path=xl/ctrlProps/ctrlProp12.xml><?xml version="1.0" encoding="utf-8"?>
<formControlPr xmlns="http://schemas.microsoft.com/office/spreadsheetml/2009/9/main" objectType="Spin" dx="31" fmlaLink="$E$32" max="10" page="10" val="0"/>
</file>

<file path=xl/ctrlProps/ctrlProp13.xml><?xml version="1.0" encoding="utf-8"?>
<formControlPr xmlns="http://schemas.microsoft.com/office/spreadsheetml/2009/9/main" objectType="Spin" dx="31" fmlaLink="$E$34" max="10" page="10" val="0"/>
</file>

<file path=xl/ctrlProps/ctrlProp14.xml><?xml version="1.0" encoding="utf-8"?>
<formControlPr xmlns="http://schemas.microsoft.com/office/spreadsheetml/2009/9/main" objectType="Spin" dx="31" fmlaLink="$E$33" max="100" page="10" val="0"/>
</file>

<file path=xl/ctrlProps/ctrlProp2.xml><?xml version="1.0" encoding="utf-8"?>
<formControlPr xmlns="http://schemas.microsoft.com/office/spreadsheetml/2009/9/main" objectType="Spin" dx="31" fmlaLink="$B$34" max="100" page="10" val="25"/>
</file>

<file path=xl/ctrlProps/ctrlProp3.xml><?xml version="1.0" encoding="utf-8"?>
<formControlPr xmlns="http://schemas.microsoft.com/office/spreadsheetml/2009/9/main" objectType="Spin" dx="31" fmlaLink="$B$35" max="100" page="10" val="20"/>
</file>

<file path=xl/ctrlProps/ctrlProp4.xml><?xml version="1.0" encoding="utf-8"?>
<formControlPr xmlns="http://schemas.microsoft.com/office/spreadsheetml/2009/9/main" objectType="Spin" dx="31" fmlaLink="$B$36" max="100" page="10" val="35"/>
</file>

<file path=xl/ctrlProps/ctrlProp5.xml><?xml version="1.0" encoding="utf-8"?>
<formControlPr xmlns="http://schemas.microsoft.com/office/spreadsheetml/2009/9/main" objectType="Spin" dx="31" fmlaLink="$B$93" max="100" page="10" val="0"/>
</file>

<file path=xl/ctrlProps/ctrlProp6.xml><?xml version="1.0" encoding="utf-8"?>
<formControlPr xmlns="http://schemas.microsoft.com/office/spreadsheetml/2009/9/main" objectType="Spin" dx="31" fmlaLink="$B$94" max="100" page="10" val="0"/>
</file>

<file path=xl/ctrlProps/ctrlProp7.xml><?xml version="1.0" encoding="utf-8"?>
<formControlPr xmlns="http://schemas.microsoft.com/office/spreadsheetml/2009/9/main" objectType="Spin" dx="31" fmlaLink="$E$110" max="50" page="10" val="10"/>
</file>

<file path=xl/ctrlProps/ctrlProp8.xml><?xml version="1.0" encoding="utf-8"?>
<formControlPr xmlns="http://schemas.microsoft.com/office/spreadsheetml/2009/9/main" objectType="Spin" dx="31" fmlaLink="$E$102" max="50" page="10" val="25"/>
</file>

<file path=xl/ctrlProps/ctrlProp9.xml><?xml version="1.0" encoding="utf-8"?>
<formControlPr xmlns="http://schemas.microsoft.com/office/spreadsheetml/2009/9/main" objectType="Spin" dx="31" fmlaLink="$B$23" max="100" page="10" val="100"/>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119</xdr:row>
      <xdr:rowOff>88900</xdr:rowOff>
    </xdr:from>
    <xdr:to>
      <xdr:col>5</xdr:col>
      <xdr:colOff>406400</xdr:colOff>
      <xdr:row>135</xdr:row>
      <xdr:rowOff>152400</xdr:rowOff>
    </xdr:to>
    <xdr:graphicFrame macro="">
      <xdr:nvGraphicFramePr>
        <xdr:cNvPr id="2" name="Diagramm 1">
          <a:extLst>
            <a:ext uri="{FF2B5EF4-FFF2-40B4-BE49-F238E27FC236}">
              <a16:creationId xmlns:a16="http://schemas.microsoft.com/office/drawing/2014/main" id="{4513888D-34AB-1E3D-1FB3-CB9C7BB794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12700</xdr:colOff>
      <xdr:row>136</xdr:row>
      <xdr:rowOff>146050</xdr:rowOff>
    </xdr:from>
    <xdr:to>
      <xdr:col>5</xdr:col>
      <xdr:colOff>444500</xdr:colOff>
      <xdr:row>152</xdr:row>
      <xdr:rowOff>57150</xdr:rowOff>
    </xdr:to>
    <xdr:graphicFrame macro="">
      <xdr:nvGraphicFramePr>
        <xdr:cNvPr id="4" name="Diagramm 3">
          <a:extLst>
            <a:ext uri="{FF2B5EF4-FFF2-40B4-BE49-F238E27FC236}">
              <a16:creationId xmlns:a16="http://schemas.microsoft.com/office/drawing/2014/main" id="{B2C5270D-8A52-EEF5-2DAA-12E939E8F5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xdr:from>
          <xdr:col>2</xdr:col>
          <xdr:colOff>219075</xdr:colOff>
          <xdr:row>32</xdr:row>
          <xdr:rowOff>85725</xdr:rowOff>
        </xdr:from>
        <xdr:to>
          <xdr:col>2</xdr:col>
          <xdr:colOff>342900</xdr:colOff>
          <xdr:row>32</xdr:row>
          <xdr:rowOff>266700</xdr:rowOff>
        </xdr:to>
        <xdr:sp macro="" textlink="">
          <xdr:nvSpPr>
            <xdr:cNvPr id="1028" name="Spinner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219075</xdr:colOff>
          <xdr:row>33</xdr:row>
          <xdr:rowOff>66675</xdr:rowOff>
        </xdr:from>
        <xdr:to>
          <xdr:col>2</xdr:col>
          <xdr:colOff>342900</xdr:colOff>
          <xdr:row>33</xdr:row>
          <xdr:rowOff>247650</xdr:rowOff>
        </xdr:to>
        <xdr:sp macro="" textlink="">
          <xdr:nvSpPr>
            <xdr:cNvPr id="1029" name="Spinner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219075</xdr:colOff>
          <xdr:row>34</xdr:row>
          <xdr:rowOff>19050</xdr:rowOff>
        </xdr:from>
        <xdr:to>
          <xdr:col>2</xdr:col>
          <xdr:colOff>342900</xdr:colOff>
          <xdr:row>35</xdr:row>
          <xdr:rowOff>9525</xdr:rowOff>
        </xdr:to>
        <xdr:sp macro="" textlink="">
          <xdr:nvSpPr>
            <xdr:cNvPr id="1030" name="Spinner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219075</xdr:colOff>
          <xdr:row>35</xdr:row>
          <xdr:rowOff>28575</xdr:rowOff>
        </xdr:from>
        <xdr:to>
          <xdr:col>2</xdr:col>
          <xdr:colOff>342900</xdr:colOff>
          <xdr:row>36</xdr:row>
          <xdr:rowOff>19050</xdr:rowOff>
        </xdr:to>
        <xdr:sp macro="" textlink="">
          <xdr:nvSpPr>
            <xdr:cNvPr id="1031" name="Spinner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342900</xdr:colOff>
          <xdr:row>91</xdr:row>
          <xdr:rowOff>180975</xdr:rowOff>
        </xdr:from>
        <xdr:to>
          <xdr:col>3</xdr:col>
          <xdr:colOff>9525</xdr:colOff>
          <xdr:row>92</xdr:row>
          <xdr:rowOff>171450</xdr:rowOff>
        </xdr:to>
        <xdr:sp macro="" textlink="">
          <xdr:nvSpPr>
            <xdr:cNvPr id="1043" name="Spinner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342900</xdr:colOff>
          <xdr:row>93</xdr:row>
          <xdr:rowOff>9525</xdr:rowOff>
        </xdr:from>
        <xdr:to>
          <xdr:col>3</xdr:col>
          <xdr:colOff>9525</xdr:colOff>
          <xdr:row>93</xdr:row>
          <xdr:rowOff>190500</xdr:rowOff>
        </xdr:to>
        <xdr:sp macro="" textlink="">
          <xdr:nvSpPr>
            <xdr:cNvPr id="1044" name="Spinner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581025</xdr:colOff>
          <xdr:row>109</xdr:row>
          <xdr:rowOff>85725</xdr:rowOff>
        </xdr:from>
        <xdr:to>
          <xdr:col>4</xdr:col>
          <xdr:colOff>714375</xdr:colOff>
          <xdr:row>109</xdr:row>
          <xdr:rowOff>257175</xdr:rowOff>
        </xdr:to>
        <xdr:sp macro="" textlink="">
          <xdr:nvSpPr>
            <xdr:cNvPr id="1049" name="Spinner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101</xdr:row>
          <xdr:rowOff>9525</xdr:rowOff>
        </xdr:from>
        <xdr:to>
          <xdr:col>4</xdr:col>
          <xdr:colOff>276225</xdr:colOff>
          <xdr:row>102</xdr:row>
          <xdr:rowOff>9525</xdr:rowOff>
        </xdr:to>
        <xdr:sp macro="" textlink="">
          <xdr:nvSpPr>
            <xdr:cNvPr id="1054" name="Spinner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238125</xdr:colOff>
          <xdr:row>22</xdr:row>
          <xdr:rowOff>66675</xdr:rowOff>
        </xdr:from>
        <xdr:to>
          <xdr:col>2</xdr:col>
          <xdr:colOff>361950</xdr:colOff>
          <xdr:row>22</xdr:row>
          <xdr:rowOff>238125</xdr:rowOff>
        </xdr:to>
        <xdr:sp macro="" textlink="">
          <xdr:nvSpPr>
            <xdr:cNvPr id="1061" name="Spinner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257175</xdr:colOff>
          <xdr:row>14</xdr:row>
          <xdr:rowOff>9525</xdr:rowOff>
        </xdr:from>
        <xdr:to>
          <xdr:col>2</xdr:col>
          <xdr:colOff>390525</xdr:colOff>
          <xdr:row>15</xdr:row>
          <xdr:rowOff>0</xdr:rowOff>
        </xdr:to>
        <xdr:sp macro="" textlink="">
          <xdr:nvSpPr>
            <xdr:cNvPr id="1063" name="Spinner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314325</xdr:colOff>
          <xdr:row>30</xdr:row>
          <xdr:rowOff>66675</xdr:rowOff>
        </xdr:from>
        <xdr:to>
          <xdr:col>4</xdr:col>
          <xdr:colOff>447675</xdr:colOff>
          <xdr:row>30</xdr:row>
          <xdr:rowOff>247650</xdr:rowOff>
        </xdr:to>
        <xdr:sp macro="" textlink="">
          <xdr:nvSpPr>
            <xdr:cNvPr id="1070" name="Spinner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314325</xdr:colOff>
          <xdr:row>31</xdr:row>
          <xdr:rowOff>85725</xdr:rowOff>
        </xdr:from>
        <xdr:to>
          <xdr:col>4</xdr:col>
          <xdr:colOff>447675</xdr:colOff>
          <xdr:row>31</xdr:row>
          <xdr:rowOff>257175</xdr:rowOff>
        </xdr:to>
        <xdr:sp macro="" textlink="">
          <xdr:nvSpPr>
            <xdr:cNvPr id="1071" name="Spinner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314325</xdr:colOff>
          <xdr:row>33</xdr:row>
          <xdr:rowOff>66675</xdr:rowOff>
        </xdr:from>
        <xdr:to>
          <xdr:col>4</xdr:col>
          <xdr:colOff>447675</xdr:colOff>
          <xdr:row>33</xdr:row>
          <xdr:rowOff>247650</xdr:rowOff>
        </xdr:to>
        <xdr:sp macro="" textlink="">
          <xdr:nvSpPr>
            <xdr:cNvPr id="1072" name="Spinner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314325</xdr:colOff>
          <xdr:row>32</xdr:row>
          <xdr:rowOff>66675</xdr:rowOff>
        </xdr:from>
        <xdr:to>
          <xdr:col>4</xdr:col>
          <xdr:colOff>447675</xdr:colOff>
          <xdr:row>32</xdr:row>
          <xdr:rowOff>238125</xdr:rowOff>
        </xdr:to>
        <xdr:sp macro="" textlink="">
          <xdr:nvSpPr>
            <xdr:cNvPr id="1073" name="Spinner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18" Type="http://schemas.openxmlformats.org/officeDocument/2006/relationships/ctrlProp" Target="../ctrlProps/ctrlProp12.xml"/><Relationship Id="rId3" Type="http://schemas.openxmlformats.org/officeDocument/2006/relationships/hyperlink" Target="https://www.foerderdatenbank.de/FDB/DE/Home/home.html" TargetMode="Externa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 Type="http://schemas.openxmlformats.org/officeDocument/2006/relationships/hyperlink" Target="https://www.pv-magazine.de/2025/02/27/enervis-photovoltaik-ausbau-fuehrt-zu-grenzueberschreitenden-kannibalisierungseffekten-in-europa/" TargetMode="External"/><Relationship Id="rId16" Type="http://schemas.openxmlformats.org/officeDocument/2006/relationships/ctrlProp" Target="../ctrlProps/ctrlProp10.xml"/><Relationship Id="rId20" Type="http://schemas.openxmlformats.org/officeDocument/2006/relationships/ctrlProp" Target="../ctrlProps/ctrlProp14.xml"/><Relationship Id="rId1" Type="http://schemas.openxmlformats.org/officeDocument/2006/relationships/hyperlink" Target="https://www.finanz-tools.de/inflation/inflationsraten-deutschland"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5" Type="http://schemas.openxmlformats.org/officeDocument/2006/relationships/ctrlProp" Target="../ctrlProps/ctrlProp9.xml"/><Relationship Id="rId10" Type="http://schemas.openxmlformats.org/officeDocument/2006/relationships/ctrlProp" Target="../ctrlProps/ctrlProp4.xml"/><Relationship Id="rId19" Type="http://schemas.openxmlformats.org/officeDocument/2006/relationships/ctrlProp" Target="../ctrlProps/ctrlProp13.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73"/>
  <sheetViews>
    <sheetView tabSelected="1" zoomScaleNormal="100" workbookViewId="0">
      <selection activeCell="A2" sqref="A2:F6"/>
    </sheetView>
  </sheetViews>
  <sheetFormatPr baseColWidth="10" defaultColWidth="0" defaultRowHeight="15" x14ac:dyDescent="0.25"/>
  <cols>
    <col min="1" max="1" width="22" style="19" customWidth="1"/>
    <col min="2" max="2" width="14.5703125" style="19" customWidth="1"/>
    <col min="3" max="3" width="6.5703125" style="19" customWidth="1"/>
    <col min="4" max="4" width="20.5703125" style="19" customWidth="1"/>
    <col min="5" max="5" width="14.5703125" style="19" customWidth="1"/>
    <col min="6" max="6" width="6.5703125" style="19" customWidth="1"/>
    <col min="7" max="7" width="10.85546875" style="23" customWidth="1"/>
    <col min="8" max="9" width="10.85546875" style="23" hidden="1" customWidth="1"/>
    <col min="10" max="11" width="10.85546875" style="19" hidden="1" customWidth="1"/>
    <col min="12" max="12" width="11.42578125" style="19" hidden="1" customWidth="1"/>
    <col min="13" max="13" width="12.85546875" style="19" hidden="1" customWidth="1"/>
    <col min="14" max="18" width="10.85546875" style="19" hidden="1" customWidth="1"/>
    <col min="19" max="19" width="13.140625" style="19" hidden="1" customWidth="1"/>
    <col min="20" max="20" width="35.140625" style="19" hidden="1" customWidth="1"/>
    <col min="21" max="21" width="14.42578125" style="19" hidden="1" customWidth="1"/>
    <col min="22" max="27" width="10.85546875" style="19" hidden="1" customWidth="1"/>
    <col min="28" max="28" width="35.42578125" style="19" hidden="1" customWidth="1"/>
    <col min="29" max="29" width="10.85546875" style="19" hidden="1" customWidth="1"/>
    <col min="30" max="30" width="27.140625" style="19" hidden="1" customWidth="1"/>
    <col min="31" max="16384" width="10.85546875" style="19" hidden="1"/>
  </cols>
  <sheetData>
    <row r="1" spans="1:43" ht="27" thickBot="1" x14ac:dyDescent="0.45">
      <c r="A1" s="171" t="s">
        <v>379</v>
      </c>
      <c r="B1" s="171"/>
      <c r="C1" s="171"/>
      <c r="D1" s="171"/>
      <c r="E1" s="171"/>
      <c r="F1" s="172"/>
      <c r="G1" s="17"/>
      <c r="H1" s="17"/>
      <c r="I1" s="17"/>
      <c r="J1" s="18" t="s">
        <v>131</v>
      </c>
      <c r="K1" s="18"/>
      <c r="L1" s="18"/>
      <c r="M1" s="18"/>
      <c r="N1" s="18"/>
      <c r="O1" s="18"/>
      <c r="P1" s="18"/>
      <c r="Q1" s="18"/>
      <c r="R1" s="18"/>
      <c r="S1" s="18"/>
      <c r="T1" s="18"/>
      <c r="U1" s="18"/>
      <c r="V1" s="18"/>
      <c r="W1" s="18"/>
      <c r="X1" s="18"/>
      <c r="Y1" s="18"/>
      <c r="Z1" s="18"/>
      <c r="AA1" s="18"/>
      <c r="AB1" s="18"/>
      <c r="AC1" s="18"/>
    </row>
    <row r="2" spans="1:43" ht="14.45" customHeight="1" x14ac:dyDescent="0.25">
      <c r="A2" s="177" t="s">
        <v>364</v>
      </c>
      <c r="B2" s="177"/>
      <c r="C2" s="177"/>
      <c r="D2" s="177"/>
      <c r="E2" s="177"/>
      <c r="F2" s="178"/>
      <c r="G2" s="20"/>
      <c r="H2" s="20"/>
      <c r="I2" s="20"/>
      <c r="J2" s="182" t="s">
        <v>130</v>
      </c>
      <c r="K2" s="182"/>
      <c r="L2" s="182"/>
      <c r="M2" s="182"/>
      <c r="N2" s="182"/>
      <c r="O2" s="182"/>
      <c r="P2" s="182"/>
      <c r="Q2" s="182"/>
      <c r="R2" s="182"/>
      <c r="S2" s="182"/>
      <c r="T2" s="182"/>
      <c r="U2" s="182"/>
      <c r="V2" s="182"/>
      <c r="W2" s="182"/>
      <c r="X2" s="18"/>
      <c r="Y2" s="18"/>
      <c r="Z2" s="18"/>
      <c r="AA2" s="18"/>
      <c r="AB2" s="18"/>
      <c r="AC2" s="18"/>
    </row>
    <row r="3" spans="1:43" x14ac:dyDescent="0.25">
      <c r="A3" s="179"/>
      <c r="B3" s="179"/>
      <c r="C3" s="179"/>
      <c r="D3" s="179"/>
      <c r="E3" s="179"/>
      <c r="F3" s="180"/>
      <c r="G3" s="20"/>
      <c r="H3" s="20"/>
      <c r="I3" s="20"/>
      <c r="J3" s="182"/>
      <c r="K3" s="182"/>
      <c r="L3" s="182"/>
      <c r="M3" s="182"/>
      <c r="N3" s="182"/>
      <c r="O3" s="182"/>
      <c r="P3" s="182"/>
      <c r="Q3" s="182"/>
      <c r="R3" s="182"/>
      <c r="S3" s="182"/>
      <c r="T3" s="182"/>
      <c r="U3" s="182"/>
      <c r="V3" s="182"/>
      <c r="W3" s="182"/>
    </row>
    <row r="4" spans="1:43" x14ac:dyDescent="0.25">
      <c r="A4" s="179"/>
      <c r="B4" s="179"/>
      <c r="C4" s="179"/>
      <c r="D4" s="179"/>
      <c r="E4" s="179"/>
      <c r="F4" s="180"/>
      <c r="G4" s="20"/>
      <c r="H4" s="20"/>
      <c r="I4" s="20"/>
      <c r="J4" s="182"/>
      <c r="K4" s="182"/>
      <c r="L4" s="182"/>
      <c r="M4" s="182"/>
      <c r="N4" s="182"/>
      <c r="O4" s="182"/>
      <c r="P4" s="182"/>
      <c r="Q4" s="182"/>
      <c r="R4" s="182"/>
      <c r="S4" s="182"/>
      <c r="T4" s="182"/>
      <c r="U4" s="182"/>
      <c r="V4" s="182"/>
      <c r="W4" s="182"/>
    </row>
    <row r="5" spans="1:43" x14ac:dyDescent="0.25">
      <c r="A5" s="179"/>
      <c r="B5" s="179"/>
      <c r="C5" s="179"/>
      <c r="D5" s="179"/>
      <c r="E5" s="179"/>
      <c r="F5" s="180"/>
      <c r="G5" s="20"/>
      <c r="H5" s="20"/>
      <c r="I5" s="20"/>
    </row>
    <row r="6" spans="1:43" ht="14.45" customHeight="1" x14ac:dyDescent="0.25">
      <c r="A6" s="179"/>
      <c r="B6" s="179"/>
      <c r="C6" s="179"/>
      <c r="D6" s="179"/>
      <c r="E6" s="179"/>
      <c r="F6" s="180"/>
      <c r="G6" s="20"/>
      <c r="H6" s="20"/>
      <c r="I6" s="20"/>
      <c r="J6" s="184" t="s">
        <v>132</v>
      </c>
      <c r="K6" s="184"/>
      <c r="L6" s="184"/>
      <c r="M6" s="184"/>
      <c r="N6" s="184"/>
      <c r="O6" s="184"/>
      <c r="T6" s="159" t="s">
        <v>26</v>
      </c>
      <c r="U6" s="159"/>
      <c r="V6" s="159"/>
      <c r="W6" s="159"/>
      <c r="X6" s="159"/>
      <c r="Y6" s="159"/>
      <c r="Z6" s="159"/>
      <c r="AB6" s="21" t="s">
        <v>184</v>
      </c>
      <c r="AC6" s="22"/>
      <c r="AD6" s="22"/>
    </row>
    <row r="7" spans="1:43" ht="15.75" thickBot="1" x14ac:dyDescent="0.3">
      <c r="A7" s="23"/>
      <c r="B7" s="23"/>
      <c r="C7" s="23"/>
      <c r="D7" s="23"/>
      <c r="E7" s="23"/>
      <c r="F7" s="23"/>
      <c r="J7" s="161" t="s">
        <v>4</v>
      </c>
      <c r="K7" s="161"/>
      <c r="L7" s="161"/>
      <c r="M7" s="24"/>
      <c r="N7" s="24"/>
      <c r="O7" s="24"/>
      <c r="T7" s="25" t="s">
        <v>137</v>
      </c>
      <c r="U7" s="25" t="s">
        <v>138</v>
      </c>
      <c r="V7" s="25" t="s">
        <v>142</v>
      </c>
      <c r="W7" s="25" t="s">
        <v>139</v>
      </c>
      <c r="X7" s="25" t="s">
        <v>140</v>
      </c>
      <c r="Y7" s="25" t="s">
        <v>141</v>
      </c>
      <c r="Z7" s="25"/>
    </row>
    <row r="8" spans="1:43" ht="24.95" customHeight="1" x14ac:dyDescent="0.25">
      <c r="A8" s="26" t="s">
        <v>365</v>
      </c>
      <c r="B8" s="183"/>
      <c r="C8" s="183"/>
      <c r="D8" s="28" t="s">
        <v>2</v>
      </c>
      <c r="E8" s="27">
        <f ca="1">TODAY()</f>
        <v>46120</v>
      </c>
      <c r="F8" s="29"/>
      <c r="G8" s="30"/>
      <c r="H8" s="30"/>
      <c r="I8" s="30"/>
      <c r="J8" s="31" t="s">
        <v>27</v>
      </c>
      <c r="K8" s="31" t="s">
        <v>28</v>
      </c>
      <c r="L8" s="24"/>
      <c r="M8" s="24" t="s">
        <v>133</v>
      </c>
      <c r="N8" s="24"/>
      <c r="O8" s="24"/>
      <c r="T8" s="32" t="s">
        <v>18</v>
      </c>
      <c r="U8" s="25">
        <v>1.998</v>
      </c>
      <c r="V8" s="25"/>
      <c r="W8" s="25" t="s">
        <v>8</v>
      </c>
      <c r="X8" s="25" t="s">
        <v>144</v>
      </c>
      <c r="Y8" s="25" t="s">
        <v>143</v>
      </c>
      <c r="Z8" s="25"/>
      <c r="AA8" s="19" t="s">
        <v>183</v>
      </c>
      <c r="AB8" s="33"/>
      <c r="AC8" s="33"/>
      <c r="AD8" s="34" t="s">
        <v>185</v>
      </c>
      <c r="AE8" s="35">
        <f>E26</f>
        <v>0</v>
      </c>
      <c r="AF8" s="34" t="s">
        <v>366</v>
      </c>
      <c r="AG8" s="33"/>
      <c r="AH8" s="33"/>
      <c r="AI8" s="33"/>
      <c r="AJ8" s="33"/>
      <c r="AK8" s="33"/>
      <c r="AL8" s="33"/>
      <c r="AM8" s="33"/>
      <c r="AN8" s="33"/>
      <c r="AO8" s="33"/>
      <c r="AP8" s="33"/>
      <c r="AQ8" s="33"/>
    </row>
    <row r="9" spans="1:43" ht="15.75" x14ac:dyDescent="0.3">
      <c r="A9" s="36" t="s">
        <v>1</v>
      </c>
      <c r="B9" s="181"/>
      <c r="C9" s="181"/>
      <c r="D9" s="37" t="s">
        <v>3</v>
      </c>
      <c r="E9" s="173"/>
      <c r="F9" s="174"/>
      <c r="G9" s="38"/>
      <c r="H9" s="38"/>
      <c r="I9" s="38"/>
      <c r="J9" s="31" t="s">
        <v>302</v>
      </c>
      <c r="K9" s="31">
        <f>B14*0.01*B15</f>
        <v>0</v>
      </c>
      <c r="L9" s="24"/>
      <c r="M9" s="24" t="s">
        <v>134</v>
      </c>
      <c r="N9" s="24"/>
      <c r="O9" s="24"/>
      <c r="T9" s="32" t="s">
        <v>19</v>
      </c>
      <c r="U9" s="25">
        <v>0.45</v>
      </c>
      <c r="V9" s="25"/>
      <c r="W9" s="25" t="s">
        <v>23</v>
      </c>
      <c r="X9" s="25" t="s">
        <v>206</v>
      </c>
      <c r="Y9" s="25" t="s">
        <v>145</v>
      </c>
      <c r="Z9" s="25"/>
      <c r="AA9" s="19" t="s">
        <v>183</v>
      </c>
      <c r="AB9" s="33"/>
      <c r="AC9" s="33"/>
      <c r="AD9" s="33"/>
      <c r="AE9" s="33"/>
      <c r="AF9" s="33"/>
      <c r="AG9" s="33"/>
      <c r="AH9" s="33"/>
      <c r="AI9" s="33"/>
      <c r="AJ9" s="33"/>
      <c r="AK9" s="33"/>
      <c r="AL9" s="33"/>
      <c r="AM9" s="33"/>
      <c r="AN9" s="33"/>
      <c r="AO9" s="33"/>
      <c r="AP9" s="33"/>
      <c r="AQ9" s="33"/>
    </row>
    <row r="10" spans="1:43" ht="16.5" thickBot="1" x14ac:dyDescent="0.35">
      <c r="A10" s="39" t="s">
        <v>0</v>
      </c>
      <c r="B10" s="175"/>
      <c r="C10" s="175"/>
      <c r="D10" s="175"/>
      <c r="E10" s="175"/>
      <c r="F10" s="176"/>
      <c r="G10" s="38"/>
      <c r="H10" s="38"/>
      <c r="I10" s="38"/>
      <c r="J10" s="31" t="s">
        <v>29</v>
      </c>
      <c r="K10" s="31">
        <f>E14*E15*0.01</f>
        <v>0</v>
      </c>
      <c r="L10" s="24"/>
      <c r="M10" s="24" t="s">
        <v>135</v>
      </c>
      <c r="N10" s="24"/>
      <c r="O10" s="24"/>
      <c r="T10" s="32" t="s">
        <v>25</v>
      </c>
      <c r="U10" s="25">
        <v>1100</v>
      </c>
      <c r="V10" s="25"/>
      <c r="W10" s="25" t="s">
        <v>24</v>
      </c>
      <c r="X10" s="25" t="s">
        <v>160</v>
      </c>
      <c r="Y10" s="25" t="s">
        <v>146</v>
      </c>
      <c r="Z10" s="25"/>
      <c r="AA10" s="19" t="s">
        <v>183</v>
      </c>
      <c r="AB10" s="33"/>
      <c r="AC10" s="33"/>
      <c r="AD10" s="33"/>
      <c r="AE10" s="33"/>
      <c r="AF10" s="33"/>
      <c r="AG10" s="33"/>
      <c r="AH10" s="33"/>
      <c r="AI10" s="33"/>
      <c r="AJ10" s="33"/>
      <c r="AK10" s="33"/>
      <c r="AL10" s="33"/>
      <c r="AM10" s="33"/>
      <c r="AN10" s="33"/>
      <c r="AO10" s="33"/>
      <c r="AP10" s="33"/>
      <c r="AQ10" s="33"/>
    </row>
    <row r="11" spans="1:43" ht="15.75" thickBot="1" x14ac:dyDescent="0.3">
      <c r="A11" s="23"/>
      <c r="B11" s="23"/>
      <c r="C11" s="23"/>
      <c r="D11" s="23"/>
      <c r="E11" s="23"/>
      <c r="F11" s="23"/>
      <c r="J11" s="31" t="s">
        <v>247</v>
      </c>
      <c r="K11" s="31">
        <f>E14/365</f>
        <v>0</v>
      </c>
      <c r="L11" s="24"/>
      <c r="M11" s="24" t="s">
        <v>136</v>
      </c>
      <c r="N11" s="40"/>
      <c r="O11" s="24"/>
      <c r="T11" s="32"/>
      <c r="U11" s="25"/>
      <c r="V11" s="25"/>
      <c r="W11" s="25"/>
      <c r="X11" s="25"/>
      <c r="Y11" s="160"/>
      <c r="Z11" s="25"/>
      <c r="AA11" s="19" t="s">
        <v>183</v>
      </c>
      <c r="AB11" s="33" t="s">
        <v>64</v>
      </c>
      <c r="AC11" s="33"/>
      <c r="AD11" s="33"/>
      <c r="AE11" s="33"/>
      <c r="AF11" s="33"/>
      <c r="AG11" s="33"/>
      <c r="AH11" s="33"/>
      <c r="AI11" s="33"/>
      <c r="AJ11" s="33"/>
      <c r="AK11" s="33"/>
      <c r="AL11" s="33"/>
      <c r="AM11" s="33"/>
      <c r="AN11" s="33"/>
      <c r="AO11" s="33"/>
      <c r="AP11" s="33"/>
      <c r="AQ11" s="33"/>
    </row>
    <row r="12" spans="1:43" ht="15.75" thickBot="1" x14ac:dyDescent="0.3">
      <c r="A12" s="149" t="s">
        <v>195</v>
      </c>
      <c r="B12" s="150"/>
      <c r="C12" s="150"/>
      <c r="D12" s="150"/>
      <c r="E12" s="150"/>
      <c r="F12" s="151"/>
      <c r="J12" s="31" t="s">
        <v>303</v>
      </c>
      <c r="K12" s="41">
        <v>46235</v>
      </c>
      <c r="L12" s="42">
        <v>46419</v>
      </c>
      <c r="M12" s="41">
        <v>46600</v>
      </c>
      <c r="N12" s="42">
        <v>46784</v>
      </c>
      <c r="O12" s="41">
        <v>46966</v>
      </c>
      <c r="T12" s="32"/>
      <c r="U12" s="25"/>
      <c r="V12" s="25"/>
      <c r="W12" s="25"/>
      <c r="X12" s="25"/>
      <c r="Y12" s="160"/>
      <c r="Z12" s="25"/>
      <c r="AB12" s="33"/>
      <c r="AC12" s="33"/>
      <c r="AD12" s="33"/>
      <c r="AE12" s="33"/>
      <c r="AF12" s="33"/>
      <c r="AG12" s="33"/>
      <c r="AH12" s="33"/>
      <c r="AI12" s="33"/>
      <c r="AJ12" s="33"/>
      <c r="AK12" s="33"/>
      <c r="AL12" s="33"/>
      <c r="AM12" s="33"/>
      <c r="AN12" s="33"/>
      <c r="AO12" s="33"/>
      <c r="AP12" s="33"/>
      <c r="AQ12" s="33"/>
    </row>
    <row r="13" spans="1:43" x14ac:dyDescent="0.25">
      <c r="A13" s="156" t="s">
        <v>4</v>
      </c>
      <c r="B13" s="156"/>
      <c r="C13" s="156"/>
      <c r="D13" s="156"/>
      <c r="E13" s="156"/>
      <c r="F13" s="156"/>
      <c r="G13" s="43"/>
      <c r="H13" s="43"/>
      <c r="I13" s="43"/>
      <c r="J13" s="24"/>
      <c r="K13" s="24">
        <f>IF($B$16=K12,1,0)</f>
        <v>1</v>
      </c>
      <c r="L13" s="24">
        <f>IF($B$16=L12,2,0)</f>
        <v>0</v>
      </c>
      <c r="M13" s="24">
        <f>IF($B$16=M12,3,0)</f>
        <v>0</v>
      </c>
      <c r="N13" s="24">
        <f>IF($B$16=N12,4,0)</f>
        <v>0</v>
      </c>
      <c r="O13" s="24">
        <f>IF($B$16=O12,5,0)</f>
        <v>0</v>
      </c>
      <c r="T13" s="32"/>
      <c r="U13" s="25"/>
      <c r="V13" s="25"/>
      <c r="W13" s="25"/>
      <c r="X13" s="25"/>
      <c r="Y13" s="160"/>
      <c r="Z13" s="25"/>
      <c r="AA13" s="19" t="s">
        <v>183</v>
      </c>
      <c r="AB13" s="33"/>
      <c r="AC13" s="33"/>
      <c r="AD13" s="33" t="s">
        <v>65</v>
      </c>
      <c r="AE13" s="33" t="s">
        <v>66</v>
      </c>
      <c r="AF13" s="33" t="s">
        <v>67</v>
      </c>
      <c r="AG13" s="33" t="s">
        <v>68</v>
      </c>
      <c r="AH13" s="33" t="s">
        <v>69</v>
      </c>
      <c r="AI13" s="33" t="s">
        <v>70</v>
      </c>
      <c r="AJ13" s="33" t="s">
        <v>71</v>
      </c>
      <c r="AK13" s="33" t="s">
        <v>72</v>
      </c>
      <c r="AL13" s="33" t="s">
        <v>73</v>
      </c>
      <c r="AM13" s="33" t="s">
        <v>74</v>
      </c>
      <c r="AN13" s="33" t="s">
        <v>75</v>
      </c>
      <c r="AO13" s="33" t="s">
        <v>76</v>
      </c>
      <c r="AP13" s="33" t="s">
        <v>357</v>
      </c>
      <c r="AQ13" s="33"/>
    </row>
    <row r="14" spans="1:43" x14ac:dyDescent="0.25">
      <c r="A14" s="44" t="s">
        <v>5</v>
      </c>
      <c r="B14" s="3"/>
      <c r="C14" s="44" t="s">
        <v>8</v>
      </c>
      <c r="D14" s="44" t="s">
        <v>12</v>
      </c>
      <c r="E14" s="4"/>
      <c r="F14" s="44" t="s">
        <v>14</v>
      </c>
      <c r="J14" s="45"/>
      <c r="K14" s="45"/>
      <c r="L14" s="45"/>
      <c r="M14" s="45"/>
      <c r="N14" s="45"/>
      <c r="O14" s="45"/>
      <c r="T14" s="32"/>
      <c r="U14" s="25"/>
      <c r="V14" s="25"/>
      <c r="W14" s="25"/>
      <c r="X14" s="25"/>
      <c r="Y14" s="160"/>
      <c r="Z14" s="25"/>
      <c r="AA14" s="19" t="s">
        <v>183</v>
      </c>
      <c r="AB14" s="33" t="s">
        <v>77</v>
      </c>
      <c r="AC14" s="33"/>
      <c r="AD14" s="33">
        <v>0.05</v>
      </c>
      <c r="AE14" s="33">
        <v>0.06</v>
      </c>
      <c r="AF14" s="33">
        <v>0.09</v>
      </c>
      <c r="AG14" s="33">
        <v>0.1</v>
      </c>
      <c r="AH14" s="33">
        <v>0.11</v>
      </c>
      <c r="AI14" s="33">
        <v>0.13</v>
      </c>
      <c r="AJ14" s="33">
        <v>0.13</v>
      </c>
      <c r="AK14" s="33">
        <v>0.1</v>
      </c>
      <c r="AL14" s="33">
        <v>0.09</v>
      </c>
      <c r="AM14" s="33">
        <v>0.06</v>
      </c>
      <c r="AN14" s="33">
        <v>0.05</v>
      </c>
      <c r="AO14" s="33">
        <v>0.03</v>
      </c>
      <c r="AP14" s="33">
        <f>SUM(AD14:AO14)</f>
        <v>1</v>
      </c>
      <c r="AQ14" s="33"/>
    </row>
    <row r="15" spans="1:43" ht="25.5" x14ac:dyDescent="0.25">
      <c r="A15" s="44" t="s">
        <v>6</v>
      </c>
      <c r="B15" s="3">
        <v>100</v>
      </c>
      <c r="C15" s="44" t="s">
        <v>9</v>
      </c>
      <c r="D15" s="44" t="s">
        <v>10</v>
      </c>
      <c r="E15" s="3"/>
      <c r="F15" s="52" t="s">
        <v>367</v>
      </c>
      <c r="J15" s="161" t="s">
        <v>17</v>
      </c>
      <c r="K15" s="161"/>
      <c r="L15" s="161"/>
      <c r="M15" s="24"/>
      <c r="N15" s="24"/>
      <c r="O15" s="24"/>
      <c r="T15" s="32"/>
      <c r="U15" s="25"/>
      <c r="V15" s="25"/>
      <c r="W15" s="25"/>
      <c r="X15" s="25"/>
      <c r="Y15" s="160"/>
      <c r="Z15" s="25"/>
      <c r="AA15" s="19" t="s">
        <v>183</v>
      </c>
      <c r="AB15" s="33" t="s">
        <v>78</v>
      </c>
      <c r="AC15" s="33"/>
      <c r="AD15" s="33">
        <v>31</v>
      </c>
      <c r="AE15" s="33">
        <v>28</v>
      </c>
      <c r="AF15" s="33">
        <v>31</v>
      </c>
      <c r="AG15" s="33">
        <v>30</v>
      </c>
      <c r="AH15" s="33">
        <v>31</v>
      </c>
      <c r="AI15" s="33">
        <v>30</v>
      </c>
      <c r="AJ15" s="33">
        <v>31</v>
      </c>
      <c r="AK15" s="33">
        <v>31</v>
      </c>
      <c r="AL15" s="33">
        <v>30</v>
      </c>
      <c r="AM15" s="33">
        <v>31</v>
      </c>
      <c r="AN15" s="33">
        <v>30</v>
      </c>
      <c r="AO15" s="33">
        <v>31</v>
      </c>
      <c r="AP15" s="33">
        <f>SUM(AD15:AO15)</f>
        <v>365</v>
      </c>
      <c r="AQ15" s="33"/>
    </row>
    <row r="16" spans="1:43" ht="25.5" x14ac:dyDescent="0.25">
      <c r="A16" s="52" t="s">
        <v>246</v>
      </c>
      <c r="B16" s="5">
        <v>46235</v>
      </c>
      <c r="C16" s="44"/>
      <c r="D16" s="46" t="s">
        <v>13</v>
      </c>
      <c r="E16" s="47">
        <f>K10</f>
        <v>0</v>
      </c>
      <c r="F16" s="46" t="s">
        <v>16</v>
      </c>
      <c r="J16" s="31" t="s">
        <v>27</v>
      </c>
      <c r="K16" s="31" t="s">
        <v>28</v>
      </c>
      <c r="L16" s="24"/>
      <c r="M16" s="24" t="s">
        <v>133</v>
      </c>
      <c r="N16" s="24"/>
      <c r="O16" s="24"/>
      <c r="T16" s="32"/>
      <c r="U16" s="25"/>
      <c r="V16" s="25"/>
      <c r="W16" s="25"/>
      <c r="X16" s="25"/>
      <c r="Y16" s="160"/>
      <c r="Z16" s="25"/>
      <c r="AA16" s="19" t="s">
        <v>183</v>
      </c>
      <c r="AB16" s="33" t="s">
        <v>79</v>
      </c>
      <c r="AC16" s="33"/>
      <c r="AD16" s="33">
        <f>$AE$8*AD14/AD15</f>
        <v>0</v>
      </c>
      <c r="AE16" s="33">
        <f t="shared" ref="AE16:AP16" si="0">$AE$8*AE14/AE15</f>
        <v>0</v>
      </c>
      <c r="AF16" s="33">
        <f t="shared" si="0"/>
        <v>0</v>
      </c>
      <c r="AG16" s="33">
        <f t="shared" si="0"/>
        <v>0</v>
      </c>
      <c r="AH16" s="33">
        <f t="shared" si="0"/>
        <v>0</v>
      </c>
      <c r="AI16" s="33">
        <f t="shared" si="0"/>
        <v>0</v>
      </c>
      <c r="AJ16" s="33">
        <f t="shared" si="0"/>
        <v>0</v>
      </c>
      <c r="AK16" s="33">
        <f t="shared" si="0"/>
        <v>0</v>
      </c>
      <c r="AL16" s="33">
        <f t="shared" si="0"/>
        <v>0</v>
      </c>
      <c r="AM16" s="33">
        <f t="shared" si="0"/>
        <v>0</v>
      </c>
      <c r="AN16" s="33">
        <f t="shared" si="0"/>
        <v>0</v>
      </c>
      <c r="AO16" s="33">
        <f t="shared" si="0"/>
        <v>0</v>
      </c>
      <c r="AP16" s="33">
        <f t="shared" si="0"/>
        <v>0</v>
      </c>
      <c r="AQ16" s="33" t="s">
        <v>187</v>
      </c>
    </row>
    <row r="17" spans="1:43" x14ac:dyDescent="0.25">
      <c r="A17" s="46" t="s">
        <v>7</v>
      </c>
      <c r="B17" s="47">
        <f>K9</f>
        <v>0</v>
      </c>
      <c r="C17" s="46" t="s">
        <v>8</v>
      </c>
      <c r="D17" s="46" t="s">
        <v>11</v>
      </c>
      <c r="E17" s="47">
        <f>K11</f>
        <v>0</v>
      </c>
      <c r="F17" s="46" t="s">
        <v>14</v>
      </c>
      <c r="J17" s="31" t="s">
        <v>304</v>
      </c>
      <c r="K17" s="24">
        <f>ROUND(B17/B20,0)</f>
        <v>0</v>
      </c>
      <c r="L17" s="24"/>
      <c r="M17" s="24" t="s">
        <v>147</v>
      </c>
      <c r="N17" s="24"/>
      <c r="O17" s="24"/>
      <c r="T17" s="48"/>
      <c r="U17" s="25"/>
      <c r="V17" s="25"/>
      <c r="W17" s="25"/>
      <c r="X17" s="25"/>
      <c r="Y17" s="160"/>
      <c r="Z17" s="25"/>
      <c r="AA17" s="19" t="s">
        <v>183</v>
      </c>
      <c r="AB17" s="33" t="s">
        <v>85</v>
      </c>
      <c r="AC17" s="33"/>
      <c r="AD17" s="33"/>
      <c r="AE17" s="33"/>
      <c r="AF17" s="33"/>
      <c r="AG17" s="33"/>
      <c r="AH17" s="33"/>
      <c r="AI17" s="33"/>
      <c r="AJ17" s="33"/>
      <c r="AK17" s="33"/>
      <c r="AL17" s="33"/>
      <c r="AM17" s="33"/>
      <c r="AN17" s="33"/>
      <c r="AO17" s="33"/>
      <c r="AP17" s="33"/>
      <c r="AQ17" s="33"/>
    </row>
    <row r="18" spans="1:43" ht="15.75" thickBot="1" x14ac:dyDescent="0.3">
      <c r="A18" s="23"/>
      <c r="B18" s="23"/>
      <c r="C18" s="23"/>
      <c r="D18" s="23"/>
      <c r="E18" s="23"/>
      <c r="F18" s="23"/>
      <c r="J18" s="31" t="s">
        <v>161</v>
      </c>
      <c r="K18" s="24">
        <f>K17*B21</f>
        <v>0</v>
      </c>
      <c r="L18" s="24"/>
      <c r="M18" s="24" t="s">
        <v>148</v>
      </c>
      <c r="N18" s="24"/>
      <c r="O18" s="24"/>
      <c r="T18" s="25"/>
      <c r="U18" s="25"/>
      <c r="V18" s="25"/>
      <c r="W18" s="25"/>
      <c r="X18" s="25"/>
      <c r="Y18" s="160"/>
      <c r="Z18" s="25"/>
      <c r="AA18" s="19" t="s">
        <v>183</v>
      </c>
      <c r="AB18" s="33" t="s">
        <v>80</v>
      </c>
      <c r="AC18" s="33"/>
      <c r="AD18" s="33"/>
      <c r="AE18" s="33"/>
      <c r="AF18" s="33"/>
      <c r="AG18" s="33"/>
      <c r="AH18" s="33"/>
      <c r="AI18" s="33"/>
      <c r="AJ18" s="33"/>
      <c r="AK18" s="33"/>
      <c r="AL18" s="33"/>
      <c r="AM18" s="33"/>
      <c r="AN18" s="33"/>
      <c r="AO18" s="33"/>
      <c r="AP18" s="33"/>
      <c r="AQ18" s="33"/>
    </row>
    <row r="19" spans="1:43" x14ac:dyDescent="0.25">
      <c r="A19" s="156" t="s">
        <v>17</v>
      </c>
      <c r="B19" s="156"/>
      <c r="C19" s="156"/>
      <c r="D19" s="156"/>
      <c r="E19" s="156"/>
      <c r="F19" s="156"/>
      <c r="G19" s="43"/>
      <c r="H19" s="43"/>
      <c r="I19" s="43"/>
      <c r="J19" s="31" t="s">
        <v>305</v>
      </c>
      <c r="K19" s="24">
        <f>IF(B22="Süd-Ausrichtung",E25*B24*0.01*B23*(1-(1-0.01*E21+0.01*E22)),0.8*E25*B24*0.01*B23*(1-(1-0.01*E21+0.01*E22)))</f>
        <v>0</v>
      </c>
      <c r="L19" s="24"/>
      <c r="M19" s="24" t="s">
        <v>158</v>
      </c>
      <c r="N19" s="24"/>
      <c r="O19" s="24"/>
      <c r="T19" s="32" t="s">
        <v>154</v>
      </c>
      <c r="U19" s="49">
        <f>(0.03*0.945 + 0.06*0.955 + 0.13*0.965 + 0.1*0.97 + 0.48*0.985 + 0.2*0.97)*100</f>
        <v>97.490000000000009</v>
      </c>
      <c r="V19" s="25"/>
      <c r="W19" s="25" t="s">
        <v>9</v>
      </c>
      <c r="X19" s="25" t="s">
        <v>201</v>
      </c>
      <c r="Y19" s="50" t="s">
        <v>155</v>
      </c>
      <c r="Z19" s="25"/>
      <c r="AA19" s="19" t="s">
        <v>183</v>
      </c>
      <c r="AB19" s="33" t="s">
        <v>81</v>
      </c>
      <c r="AC19" s="33">
        <v>0.2</v>
      </c>
      <c r="AD19" s="33">
        <f>AD16*$AC$19</f>
        <v>0</v>
      </c>
      <c r="AE19" s="33">
        <f t="shared" ref="AE19:AP19" si="1">AE16*$AC$19</f>
        <v>0</v>
      </c>
      <c r="AF19" s="33">
        <f t="shared" si="1"/>
        <v>0</v>
      </c>
      <c r="AG19" s="33">
        <f t="shared" si="1"/>
        <v>0</v>
      </c>
      <c r="AH19" s="33">
        <f t="shared" si="1"/>
        <v>0</v>
      </c>
      <c r="AI19" s="33">
        <f t="shared" si="1"/>
        <v>0</v>
      </c>
      <c r="AJ19" s="33">
        <f t="shared" si="1"/>
        <v>0</v>
      </c>
      <c r="AK19" s="33">
        <f t="shared" si="1"/>
        <v>0</v>
      </c>
      <c r="AL19" s="33">
        <f t="shared" si="1"/>
        <v>0</v>
      </c>
      <c r="AM19" s="33">
        <f t="shared" si="1"/>
        <v>0</v>
      </c>
      <c r="AN19" s="33">
        <f t="shared" si="1"/>
        <v>0</v>
      </c>
      <c r="AO19" s="33">
        <f t="shared" si="1"/>
        <v>0</v>
      </c>
      <c r="AP19" s="33">
        <f t="shared" si="1"/>
        <v>0</v>
      </c>
      <c r="AQ19" s="33"/>
    </row>
    <row r="20" spans="1:43" x14ac:dyDescent="0.25">
      <c r="A20" s="44" t="s">
        <v>18</v>
      </c>
      <c r="B20" s="1">
        <v>1.998</v>
      </c>
      <c r="C20" s="44" t="s">
        <v>8</v>
      </c>
      <c r="D20" s="155" t="s">
        <v>151</v>
      </c>
      <c r="E20" s="155"/>
      <c r="F20" s="155"/>
      <c r="G20" s="51"/>
      <c r="H20" s="51"/>
      <c r="I20" s="51"/>
      <c r="J20" s="161" t="s">
        <v>150</v>
      </c>
      <c r="K20" s="161"/>
      <c r="L20" s="161"/>
      <c r="M20" s="24"/>
      <c r="N20" s="24"/>
      <c r="O20" s="24"/>
      <c r="T20" s="32" t="s">
        <v>153</v>
      </c>
      <c r="U20" s="49">
        <v>3</v>
      </c>
      <c r="V20" s="25"/>
      <c r="W20" s="25" t="s">
        <v>9</v>
      </c>
      <c r="X20" s="25" t="s">
        <v>202</v>
      </c>
      <c r="Y20" s="25" t="s">
        <v>156</v>
      </c>
      <c r="Z20" s="25"/>
      <c r="AA20" s="19" t="s">
        <v>183</v>
      </c>
      <c r="AB20" s="33" t="s">
        <v>82</v>
      </c>
      <c r="AC20" s="33">
        <v>0.55000000000000004</v>
      </c>
      <c r="AD20" s="33">
        <f>AD16*$AC$20</f>
        <v>0</v>
      </c>
      <c r="AE20" s="33">
        <f t="shared" ref="AE20:AP20" si="2">AE16*$AC$20</f>
        <v>0</v>
      </c>
      <c r="AF20" s="33">
        <f t="shared" si="2"/>
        <v>0</v>
      </c>
      <c r="AG20" s="33">
        <f t="shared" si="2"/>
        <v>0</v>
      </c>
      <c r="AH20" s="33">
        <f t="shared" si="2"/>
        <v>0</v>
      </c>
      <c r="AI20" s="33">
        <f t="shared" si="2"/>
        <v>0</v>
      </c>
      <c r="AJ20" s="33">
        <f t="shared" si="2"/>
        <v>0</v>
      </c>
      <c r="AK20" s="33">
        <f t="shared" si="2"/>
        <v>0</v>
      </c>
      <c r="AL20" s="33">
        <f t="shared" si="2"/>
        <v>0</v>
      </c>
      <c r="AM20" s="33">
        <f t="shared" si="2"/>
        <v>0</v>
      </c>
      <c r="AN20" s="33">
        <f t="shared" si="2"/>
        <v>0</v>
      </c>
      <c r="AO20" s="33">
        <f t="shared" si="2"/>
        <v>0</v>
      </c>
      <c r="AP20" s="33">
        <f t="shared" si="2"/>
        <v>0</v>
      </c>
      <c r="AQ20" s="33"/>
    </row>
    <row r="21" spans="1:43" ht="38.25" x14ac:dyDescent="0.25">
      <c r="A21" s="44" t="s">
        <v>19</v>
      </c>
      <c r="B21" s="1">
        <v>0.45</v>
      </c>
      <c r="C21" s="44" t="s">
        <v>23</v>
      </c>
      <c r="D21" s="52" t="s">
        <v>154</v>
      </c>
      <c r="E21" s="2">
        <v>97.490000000000009</v>
      </c>
      <c r="F21" s="44" t="s">
        <v>9</v>
      </c>
      <c r="G21" s="51"/>
      <c r="H21" s="51"/>
      <c r="I21" s="51"/>
      <c r="J21" s="31" t="s">
        <v>27</v>
      </c>
      <c r="K21" s="31" t="s">
        <v>28</v>
      </c>
      <c r="L21" s="24"/>
      <c r="M21" s="24" t="s">
        <v>133</v>
      </c>
      <c r="N21" s="24"/>
      <c r="O21" s="24"/>
      <c r="T21" s="32" t="s">
        <v>152</v>
      </c>
      <c r="U21" s="49">
        <v>0.5</v>
      </c>
      <c r="V21" s="25"/>
      <c r="W21" s="25" t="s">
        <v>9</v>
      </c>
      <c r="X21" s="25" t="s">
        <v>203</v>
      </c>
      <c r="Y21" s="25" t="s">
        <v>157</v>
      </c>
      <c r="Z21" s="25"/>
      <c r="AA21" s="19" t="s">
        <v>183</v>
      </c>
      <c r="AB21" s="33" t="s">
        <v>83</v>
      </c>
      <c r="AC21" s="33">
        <v>0.25</v>
      </c>
      <c r="AD21" s="33">
        <f>AD16*$AC$21</f>
        <v>0</v>
      </c>
      <c r="AE21" s="33">
        <f t="shared" ref="AE21:AP21" si="3">AE16*$AC$21</f>
        <v>0</v>
      </c>
      <c r="AF21" s="33">
        <f t="shared" si="3"/>
        <v>0</v>
      </c>
      <c r="AG21" s="33">
        <f t="shared" si="3"/>
        <v>0</v>
      </c>
      <c r="AH21" s="33">
        <f t="shared" si="3"/>
        <v>0</v>
      </c>
      <c r="AI21" s="33">
        <f t="shared" si="3"/>
        <v>0</v>
      </c>
      <c r="AJ21" s="33">
        <f t="shared" si="3"/>
        <v>0</v>
      </c>
      <c r="AK21" s="33">
        <f t="shared" si="3"/>
        <v>0</v>
      </c>
      <c r="AL21" s="33">
        <f t="shared" si="3"/>
        <v>0</v>
      </c>
      <c r="AM21" s="33">
        <f t="shared" si="3"/>
        <v>0</v>
      </c>
      <c r="AN21" s="33">
        <f t="shared" si="3"/>
        <v>0</v>
      </c>
      <c r="AO21" s="33">
        <f t="shared" si="3"/>
        <v>0</v>
      </c>
      <c r="AP21" s="33">
        <f t="shared" si="3"/>
        <v>0</v>
      </c>
      <c r="AQ21" s="33"/>
    </row>
    <row r="22" spans="1:43" ht="25.5" x14ac:dyDescent="0.25">
      <c r="A22" s="44" t="s">
        <v>20</v>
      </c>
      <c r="B22" s="2" t="s">
        <v>299</v>
      </c>
      <c r="C22" s="44"/>
      <c r="D22" s="52" t="s">
        <v>153</v>
      </c>
      <c r="E22" s="2">
        <v>3</v>
      </c>
      <c r="F22" s="44" t="s">
        <v>9</v>
      </c>
      <c r="G22" s="53"/>
      <c r="H22" s="53"/>
      <c r="I22" s="53"/>
      <c r="J22" s="31" t="s">
        <v>306</v>
      </c>
      <c r="K22" s="24">
        <f>SUM(B33:B36)</f>
        <v>100</v>
      </c>
      <c r="L22" s="24" t="s">
        <v>177</v>
      </c>
      <c r="M22" s="24"/>
      <c r="N22" s="24"/>
      <c r="O22" s="24"/>
      <c r="T22" s="32" t="s">
        <v>166</v>
      </c>
      <c r="U22" s="49">
        <v>55</v>
      </c>
      <c r="V22" s="49"/>
      <c r="W22" s="25" t="s">
        <v>14</v>
      </c>
      <c r="X22" s="25" t="s">
        <v>204</v>
      </c>
      <c r="Y22" s="25"/>
      <c r="Z22" s="25"/>
      <c r="AA22" s="19" t="s">
        <v>183</v>
      </c>
      <c r="AB22" s="33"/>
      <c r="AC22" s="33"/>
      <c r="AD22" s="33"/>
      <c r="AE22" s="33"/>
      <c r="AF22" s="33"/>
      <c r="AG22" s="33"/>
      <c r="AH22" s="33"/>
      <c r="AI22" s="33"/>
      <c r="AJ22" s="33"/>
      <c r="AK22" s="33"/>
      <c r="AL22" s="33"/>
      <c r="AM22" s="33"/>
      <c r="AN22" s="33"/>
      <c r="AO22" s="33"/>
      <c r="AP22" s="33"/>
      <c r="AQ22" s="33"/>
    </row>
    <row r="23" spans="1:43" ht="25.5" x14ac:dyDescent="0.25">
      <c r="A23" s="52" t="s">
        <v>159</v>
      </c>
      <c r="B23" s="3">
        <v>100</v>
      </c>
      <c r="C23" s="44" t="s">
        <v>9</v>
      </c>
      <c r="D23" s="52" t="s">
        <v>152</v>
      </c>
      <c r="E23" s="2">
        <v>0.5</v>
      </c>
      <c r="F23" s="44" t="s">
        <v>9</v>
      </c>
      <c r="G23" s="53"/>
      <c r="H23" s="53"/>
      <c r="I23" s="53"/>
      <c r="J23" s="161" t="s">
        <v>60</v>
      </c>
      <c r="K23" s="161"/>
      <c r="L23" s="161"/>
      <c r="M23" s="24"/>
      <c r="N23" s="24"/>
      <c r="O23" s="24"/>
      <c r="T23" s="32" t="s">
        <v>167</v>
      </c>
      <c r="U23" s="49">
        <v>30</v>
      </c>
      <c r="V23" s="54"/>
      <c r="W23" s="25" t="s">
        <v>9</v>
      </c>
      <c r="X23" s="25" t="s">
        <v>205</v>
      </c>
      <c r="Y23" s="25"/>
      <c r="Z23" s="25"/>
      <c r="AA23" s="19" t="s">
        <v>183</v>
      </c>
      <c r="AB23" s="33" t="s">
        <v>84</v>
      </c>
      <c r="AC23" s="33"/>
      <c r="AD23" s="33"/>
      <c r="AE23" s="33"/>
      <c r="AF23" s="33"/>
      <c r="AG23" s="33"/>
      <c r="AH23" s="33"/>
      <c r="AI23" s="33"/>
      <c r="AJ23" s="33"/>
      <c r="AK23" s="33"/>
      <c r="AL23" s="33"/>
      <c r="AM23" s="33"/>
      <c r="AN23" s="33"/>
      <c r="AO23" s="33"/>
      <c r="AP23" s="33"/>
      <c r="AQ23" s="33"/>
    </row>
    <row r="24" spans="1:43" x14ac:dyDescent="0.25">
      <c r="A24" s="52" t="s">
        <v>25</v>
      </c>
      <c r="B24" s="1">
        <v>1100</v>
      </c>
      <c r="C24" s="44" t="s">
        <v>24</v>
      </c>
      <c r="D24" s="52"/>
      <c r="E24" s="55"/>
      <c r="F24" s="44"/>
      <c r="G24" s="53"/>
      <c r="H24" s="53"/>
      <c r="I24" s="53"/>
      <c r="J24" s="31" t="s">
        <v>27</v>
      </c>
      <c r="K24" s="31" t="s">
        <v>28</v>
      </c>
      <c r="L24" s="24"/>
      <c r="M24" s="24" t="s">
        <v>133</v>
      </c>
      <c r="N24" s="24"/>
      <c r="O24" s="24"/>
      <c r="T24" s="32" t="s">
        <v>198</v>
      </c>
      <c r="U24" s="49">
        <v>423</v>
      </c>
      <c r="V24" s="25"/>
      <c r="W24" s="25" t="s">
        <v>16</v>
      </c>
      <c r="X24" s="25" t="s">
        <v>200</v>
      </c>
      <c r="Y24" s="50" t="s">
        <v>199</v>
      </c>
      <c r="Z24" s="25"/>
      <c r="AA24" s="19" t="s">
        <v>183</v>
      </c>
      <c r="AB24" s="33" t="s">
        <v>81</v>
      </c>
      <c r="AC24" s="33">
        <v>0.3</v>
      </c>
      <c r="AD24" s="33">
        <f>AD16*$AC$24</f>
        <v>0</v>
      </c>
      <c r="AE24" s="33">
        <f t="shared" ref="AE24:AJ24" si="4">AE16*$AC$24</f>
        <v>0</v>
      </c>
      <c r="AF24" s="33">
        <f t="shared" si="4"/>
        <v>0</v>
      </c>
      <c r="AG24" s="33">
        <f t="shared" si="4"/>
        <v>0</v>
      </c>
      <c r="AH24" s="33">
        <f t="shared" si="4"/>
        <v>0</v>
      </c>
      <c r="AI24" s="33">
        <f t="shared" si="4"/>
        <v>0</v>
      </c>
      <c r="AJ24" s="33">
        <f t="shared" si="4"/>
        <v>0</v>
      </c>
      <c r="AK24" s="33">
        <f t="shared" ref="AK24:AP24" si="5">AK16*$AC$24</f>
        <v>0</v>
      </c>
      <c r="AL24" s="33">
        <f t="shared" si="5"/>
        <v>0</v>
      </c>
      <c r="AM24" s="33">
        <f t="shared" si="5"/>
        <v>0</v>
      </c>
      <c r="AN24" s="33">
        <f t="shared" si="5"/>
        <v>0</v>
      </c>
      <c r="AO24" s="33">
        <f t="shared" si="5"/>
        <v>0</v>
      </c>
      <c r="AP24" s="33">
        <f t="shared" si="5"/>
        <v>0</v>
      </c>
      <c r="AQ24" s="33"/>
    </row>
    <row r="25" spans="1:43" ht="15.75" thickBot="1" x14ac:dyDescent="0.3">
      <c r="A25" s="46" t="s">
        <v>21</v>
      </c>
      <c r="B25" s="56">
        <f>K17</f>
        <v>0</v>
      </c>
      <c r="C25" s="46" t="s">
        <v>30</v>
      </c>
      <c r="D25" s="46" t="s">
        <v>22</v>
      </c>
      <c r="E25" s="47">
        <f>K18</f>
        <v>0</v>
      </c>
      <c r="F25" s="46" t="s">
        <v>23</v>
      </c>
      <c r="G25" s="51"/>
      <c r="H25" s="51"/>
      <c r="I25" s="51"/>
      <c r="J25" s="57" t="s">
        <v>200</v>
      </c>
      <c r="K25" s="58">
        <f>IF(D29="Volleinspeisung",0,IF(AE52&lt;=0,0,ROUND(AE48,0.5)))</f>
        <v>0</v>
      </c>
      <c r="L25" s="58" t="s">
        <v>307</v>
      </c>
      <c r="M25" s="58"/>
      <c r="N25" s="58"/>
      <c r="O25" s="58"/>
      <c r="T25" s="32" t="s">
        <v>221</v>
      </c>
      <c r="U25" s="49">
        <v>1500</v>
      </c>
      <c r="V25" s="25"/>
      <c r="W25" s="25" t="s">
        <v>16</v>
      </c>
      <c r="X25" s="25"/>
      <c r="Y25" s="50" t="s">
        <v>225</v>
      </c>
      <c r="Z25" s="25"/>
      <c r="AA25" s="19" t="s">
        <v>183</v>
      </c>
      <c r="AB25" s="33" t="s">
        <v>82</v>
      </c>
      <c r="AC25" s="33">
        <v>0.45</v>
      </c>
      <c r="AD25" s="33">
        <f>AD16*$AC$25</f>
        <v>0</v>
      </c>
      <c r="AE25" s="33">
        <f t="shared" ref="AE25:AJ25" si="6">AE16*$AC$25</f>
        <v>0</v>
      </c>
      <c r="AF25" s="33">
        <f t="shared" si="6"/>
        <v>0</v>
      </c>
      <c r="AG25" s="33">
        <f t="shared" si="6"/>
        <v>0</v>
      </c>
      <c r="AH25" s="33">
        <f t="shared" si="6"/>
        <v>0</v>
      </c>
      <c r="AI25" s="33">
        <f t="shared" si="6"/>
        <v>0</v>
      </c>
      <c r="AJ25" s="33">
        <f t="shared" si="6"/>
        <v>0</v>
      </c>
      <c r="AK25" s="33">
        <f t="shared" ref="AK25:AP25" si="7">AK16*$AC$25</f>
        <v>0</v>
      </c>
      <c r="AL25" s="33">
        <f t="shared" si="7"/>
        <v>0</v>
      </c>
      <c r="AM25" s="33">
        <f t="shared" si="7"/>
        <v>0</v>
      </c>
      <c r="AN25" s="33">
        <f t="shared" si="7"/>
        <v>0</v>
      </c>
      <c r="AO25" s="33">
        <f t="shared" si="7"/>
        <v>0</v>
      </c>
      <c r="AP25" s="33">
        <f t="shared" si="7"/>
        <v>0</v>
      </c>
      <c r="AQ25" s="33"/>
    </row>
    <row r="26" spans="1:43" x14ac:dyDescent="0.25">
      <c r="A26" s="46"/>
      <c r="B26" s="46"/>
      <c r="C26" s="46"/>
      <c r="D26" s="59" t="s">
        <v>158</v>
      </c>
      <c r="E26" s="47">
        <f>K19</f>
        <v>0</v>
      </c>
      <c r="F26" s="59" t="s">
        <v>14</v>
      </c>
      <c r="G26" s="51"/>
      <c r="H26" s="51"/>
      <c r="I26" s="51"/>
      <c r="J26" s="162" t="s">
        <v>368</v>
      </c>
      <c r="K26" s="163"/>
      <c r="L26" s="163"/>
      <c r="M26" s="163"/>
      <c r="N26" s="163"/>
      <c r="O26" s="164"/>
      <c r="T26" s="32" t="s">
        <v>222</v>
      </c>
      <c r="U26" s="49">
        <v>4000</v>
      </c>
      <c r="V26" s="25"/>
      <c r="W26" s="25" t="s">
        <v>16</v>
      </c>
      <c r="X26" s="25"/>
      <c r="Y26" s="50" t="s">
        <v>225</v>
      </c>
      <c r="Z26" s="25"/>
      <c r="AA26" s="19" t="s">
        <v>183</v>
      </c>
      <c r="AB26" s="33" t="s">
        <v>83</v>
      </c>
      <c r="AC26" s="33">
        <v>0.25</v>
      </c>
      <c r="AD26" s="33">
        <f>AD16*$AC$26</f>
        <v>0</v>
      </c>
      <c r="AE26" s="33">
        <f t="shared" ref="AE26:AJ26" si="8">AE16*$AC$26</f>
        <v>0</v>
      </c>
      <c r="AF26" s="33">
        <f t="shared" si="8"/>
        <v>0</v>
      </c>
      <c r="AG26" s="33">
        <f t="shared" si="8"/>
        <v>0</v>
      </c>
      <c r="AH26" s="33">
        <f t="shared" si="8"/>
        <v>0</v>
      </c>
      <c r="AI26" s="33">
        <f t="shared" si="8"/>
        <v>0</v>
      </c>
      <c r="AJ26" s="33">
        <f t="shared" si="8"/>
        <v>0</v>
      </c>
      <c r="AK26" s="33">
        <f t="shared" ref="AK26:AP26" si="9">AK16*$AC$26</f>
        <v>0</v>
      </c>
      <c r="AL26" s="33">
        <f t="shared" si="9"/>
        <v>0</v>
      </c>
      <c r="AM26" s="33">
        <f t="shared" si="9"/>
        <v>0</v>
      </c>
      <c r="AN26" s="33">
        <f t="shared" si="9"/>
        <v>0</v>
      </c>
      <c r="AO26" s="33">
        <f t="shared" si="9"/>
        <v>0</v>
      </c>
      <c r="AP26" s="33">
        <f t="shared" si="9"/>
        <v>0</v>
      </c>
      <c r="AQ26" s="33"/>
    </row>
    <row r="27" spans="1:43" ht="15.75" thickBot="1" x14ac:dyDescent="0.3">
      <c r="A27" s="23"/>
      <c r="B27" s="23"/>
      <c r="C27" s="23"/>
      <c r="D27" s="23"/>
      <c r="E27" s="23"/>
      <c r="F27" s="23"/>
      <c r="J27" s="165"/>
      <c r="K27" s="166"/>
      <c r="L27" s="166"/>
      <c r="M27" s="166"/>
      <c r="N27" s="166"/>
      <c r="O27" s="167"/>
      <c r="T27" s="32" t="s">
        <v>223</v>
      </c>
      <c r="U27" s="49">
        <v>20000</v>
      </c>
      <c r="V27" s="25"/>
      <c r="W27" s="25" t="s">
        <v>16</v>
      </c>
      <c r="X27" s="25"/>
      <c r="Y27" s="50" t="s">
        <v>225</v>
      </c>
      <c r="Z27" s="25"/>
      <c r="AA27" s="19" t="s">
        <v>183</v>
      </c>
      <c r="AB27" s="33"/>
      <c r="AC27" s="33"/>
      <c r="AD27" s="33"/>
      <c r="AE27" s="33"/>
      <c r="AF27" s="33"/>
      <c r="AG27" s="33"/>
      <c r="AH27" s="33"/>
      <c r="AI27" s="33"/>
      <c r="AJ27" s="33"/>
      <c r="AK27" s="33"/>
      <c r="AL27" s="33"/>
      <c r="AM27" s="33"/>
      <c r="AN27" s="33"/>
      <c r="AO27" s="33"/>
      <c r="AP27" s="33"/>
      <c r="AQ27" s="33"/>
    </row>
    <row r="28" spans="1:43" ht="15.75" thickBot="1" x14ac:dyDescent="0.3">
      <c r="A28" s="154" t="s">
        <v>150</v>
      </c>
      <c r="B28" s="156"/>
      <c r="C28" s="156"/>
      <c r="D28" s="156"/>
      <c r="E28" s="156"/>
      <c r="F28" s="156"/>
      <c r="J28" s="168"/>
      <c r="K28" s="169"/>
      <c r="L28" s="169"/>
      <c r="M28" s="169"/>
      <c r="N28" s="169"/>
      <c r="O28" s="170"/>
      <c r="T28" s="32" t="s">
        <v>224</v>
      </c>
      <c r="U28" s="49">
        <v>30000</v>
      </c>
      <c r="V28" s="25"/>
      <c r="W28" s="25" t="s">
        <v>16</v>
      </c>
      <c r="X28" s="25"/>
      <c r="Y28" s="50" t="s">
        <v>225</v>
      </c>
      <c r="Z28" s="25"/>
      <c r="AA28" s="19" t="s">
        <v>183</v>
      </c>
      <c r="AB28" s="33" t="s">
        <v>86</v>
      </c>
      <c r="AC28" s="33"/>
      <c r="AD28" s="33"/>
      <c r="AE28" s="33"/>
      <c r="AF28" s="33"/>
      <c r="AG28" s="33"/>
      <c r="AH28" s="33"/>
      <c r="AI28" s="33"/>
      <c r="AJ28" s="33"/>
      <c r="AK28" s="33"/>
      <c r="AL28" s="33"/>
      <c r="AM28" s="33"/>
      <c r="AN28" s="33"/>
      <c r="AO28" s="33"/>
      <c r="AP28" s="33"/>
      <c r="AQ28" s="33"/>
    </row>
    <row r="29" spans="1:43" ht="26.1" customHeight="1" thickBot="1" x14ac:dyDescent="0.3">
      <c r="A29" s="189" t="s">
        <v>189</v>
      </c>
      <c r="B29" s="190"/>
      <c r="C29" s="190"/>
      <c r="D29" s="191" t="s">
        <v>375</v>
      </c>
      <c r="E29" s="191"/>
      <c r="F29" s="192"/>
      <c r="J29" s="141" t="s">
        <v>196</v>
      </c>
      <c r="K29" s="141"/>
      <c r="L29" s="141"/>
      <c r="M29" s="45"/>
      <c r="N29" s="45"/>
      <c r="O29" s="45"/>
      <c r="T29" s="60"/>
      <c r="U29" s="25"/>
      <c r="V29" s="25"/>
      <c r="W29" s="25"/>
      <c r="X29" s="25"/>
      <c r="Y29" s="25"/>
      <c r="Z29" s="25"/>
      <c r="AB29" s="33"/>
      <c r="AC29" s="33"/>
      <c r="AD29" s="33"/>
      <c r="AE29" s="33"/>
      <c r="AF29" s="33"/>
      <c r="AG29" s="33"/>
      <c r="AH29" s="33"/>
      <c r="AI29" s="33"/>
      <c r="AJ29" s="33"/>
      <c r="AK29" s="33"/>
      <c r="AL29" s="33"/>
      <c r="AM29" s="33"/>
      <c r="AN29" s="33"/>
      <c r="AO29" s="33"/>
      <c r="AP29" s="33"/>
      <c r="AQ29" s="33"/>
    </row>
    <row r="30" spans="1:43" x14ac:dyDescent="0.25">
      <c r="A30" s="61" t="s">
        <v>55</v>
      </c>
      <c r="B30" s="135" t="s">
        <v>354</v>
      </c>
      <c r="C30" s="44"/>
      <c r="D30" s="62" t="s">
        <v>149</v>
      </c>
      <c r="E30" s="135" t="s">
        <v>354</v>
      </c>
      <c r="F30" s="44"/>
      <c r="J30" s="31" t="s">
        <v>27</v>
      </c>
      <c r="K30" s="31" t="s">
        <v>28</v>
      </c>
      <c r="L30" s="24"/>
      <c r="M30" s="24" t="s">
        <v>133</v>
      </c>
      <c r="N30" s="24"/>
      <c r="O30" s="24"/>
      <c r="T30" s="32" t="s">
        <v>235</v>
      </c>
      <c r="U30" s="25">
        <v>2.2999999999999998</v>
      </c>
      <c r="V30" s="25"/>
      <c r="W30" s="25" t="s">
        <v>9</v>
      </c>
      <c r="X30" s="25"/>
      <c r="Y30" s="63" t="s">
        <v>236</v>
      </c>
      <c r="Z30" s="25"/>
      <c r="AA30" s="19" t="s">
        <v>183</v>
      </c>
      <c r="AB30" s="33"/>
      <c r="AC30" s="33"/>
      <c r="AD30" s="33"/>
      <c r="AE30" s="33"/>
      <c r="AF30" s="33"/>
      <c r="AG30" s="33"/>
      <c r="AH30" s="33"/>
      <c r="AI30" s="33"/>
      <c r="AJ30" s="33"/>
      <c r="AK30" s="33"/>
      <c r="AL30" s="33"/>
      <c r="AM30" s="33"/>
      <c r="AN30" s="33"/>
      <c r="AO30" s="33"/>
      <c r="AP30" s="33"/>
      <c r="AQ30" s="33"/>
    </row>
    <row r="31" spans="1:43" ht="25.5" x14ac:dyDescent="0.25">
      <c r="A31" s="64" t="s">
        <v>162</v>
      </c>
      <c r="B31" s="64">
        <f>E14</f>
        <v>0</v>
      </c>
      <c r="C31" s="64" t="s">
        <v>14</v>
      </c>
      <c r="D31" s="52" t="s">
        <v>179</v>
      </c>
      <c r="E31" s="3">
        <v>0</v>
      </c>
      <c r="F31" s="44" t="s">
        <v>30</v>
      </c>
      <c r="J31" s="31" t="s">
        <v>309</v>
      </c>
      <c r="K31" s="24">
        <f>0.15*SUM(B51:B54)*(1+0.01*B55)</f>
        <v>0</v>
      </c>
      <c r="L31" s="24"/>
      <c r="M31" s="24" t="s">
        <v>311</v>
      </c>
      <c r="N31" s="24"/>
      <c r="O31" s="24"/>
      <c r="R31" s="65"/>
      <c r="S31" s="65"/>
      <c r="T31" s="32" t="s">
        <v>228</v>
      </c>
      <c r="U31" s="49">
        <v>480.9</v>
      </c>
      <c r="V31" s="25"/>
      <c r="W31" s="25" t="s">
        <v>16</v>
      </c>
      <c r="X31" s="25"/>
      <c r="Y31" s="50" t="s">
        <v>237</v>
      </c>
      <c r="Z31" s="25"/>
      <c r="AA31" s="19" t="s">
        <v>183</v>
      </c>
      <c r="AB31" s="33"/>
      <c r="AC31" s="33"/>
      <c r="AD31" s="33" t="s">
        <v>87</v>
      </c>
      <c r="AE31" s="33">
        <f>B31</f>
        <v>0</v>
      </c>
      <c r="AF31" s="33" t="s">
        <v>14</v>
      </c>
      <c r="AG31" s="33" t="s">
        <v>63</v>
      </c>
      <c r="AH31" s="33"/>
      <c r="AI31" s="33"/>
      <c r="AJ31" s="33"/>
      <c r="AK31" s="33"/>
      <c r="AL31" s="33"/>
      <c r="AM31" s="33"/>
      <c r="AN31" s="33"/>
      <c r="AO31" s="33"/>
      <c r="AP31" s="33"/>
      <c r="AQ31" s="33"/>
    </row>
    <row r="32" spans="1:43" ht="25.5" x14ac:dyDescent="0.25">
      <c r="A32" s="44" t="s">
        <v>172</v>
      </c>
      <c r="B32" s="44"/>
      <c r="C32" s="44"/>
      <c r="D32" s="52" t="s">
        <v>163</v>
      </c>
      <c r="E32" s="3">
        <v>0</v>
      </c>
      <c r="F32" s="44" t="s">
        <v>165</v>
      </c>
      <c r="J32" s="24"/>
      <c r="K32" s="24"/>
      <c r="L32" s="24"/>
      <c r="M32" s="24"/>
      <c r="N32" s="24"/>
      <c r="O32" s="24"/>
      <c r="T32" s="32" t="s">
        <v>231</v>
      </c>
      <c r="U32" s="49">
        <v>895</v>
      </c>
      <c r="V32" s="25"/>
      <c r="W32" s="25" t="s">
        <v>16</v>
      </c>
      <c r="X32" s="25"/>
      <c r="Y32" s="50" t="s">
        <v>237</v>
      </c>
      <c r="Z32" s="25"/>
      <c r="AA32" s="19" t="s">
        <v>183</v>
      </c>
      <c r="AB32" s="33"/>
      <c r="AC32" s="33"/>
      <c r="AD32" s="33" t="s">
        <v>88</v>
      </c>
      <c r="AE32" s="33"/>
      <c r="AF32" s="33"/>
      <c r="AG32" s="33"/>
      <c r="AH32" s="33"/>
      <c r="AI32" s="33"/>
      <c r="AJ32" s="33"/>
      <c r="AK32" s="33"/>
      <c r="AL32" s="33"/>
      <c r="AM32" s="33"/>
      <c r="AN32" s="33"/>
      <c r="AO32" s="33"/>
      <c r="AP32" s="33"/>
      <c r="AQ32" s="33"/>
    </row>
    <row r="33" spans="1:43" ht="25.5" x14ac:dyDescent="0.25">
      <c r="A33" s="66" t="s">
        <v>173</v>
      </c>
      <c r="B33" s="3">
        <v>20</v>
      </c>
      <c r="C33" s="44" t="s">
        <v>9</v>
      </c>
      <c r="D33" s="52" t="s">
        <v>180</v>
      </c>
      <c r="E33" s="3">
        <v>0</v>
      </c>
      <c r="F33" s="44" t="s">
        <v>30</v>
      </c>
      <c r="J33" s="24" t="s">
        <v>310</v>
      </c>
      <c r="K33" s="24">
        <f>IF(SUM(B51:B54)=0,B49,SUM(B51:B54)*(1+0.01*B55)+B56)</f>
        <v>423</v>
      </c>
      <c r="L33" s="24"/>
      <c r="M33" s="24" t="s">
        <v>308</v>
      </c>
      <c r="N33" s="24"/>
      <c r="O33" s="24"/>
      <c r="T33" s="32" t="s">
        <v>230</v>
      </c>
      <c r="U33" s="49">
        <v>250</v>
      </c>
      <c r="V33" s="25"/>
      <c r="W33" s="25" t="s">
        <v>16</v>
      </c>
      <c r="X33" s="25"/>
      <c r="Y33" s="50" t="s">
        <v>237</v>
      </c>
      <c r="Z33" s="25"/>
      <c r="AA33" s="19" t="s">
        <v>183</v>
      </c>
      <c r="AB33" s="33"/>
      <c r="AC33" s="33"/>
      <c r="AD33" s="33" t="s">
        <v>168</v>
      </c>
      <c r="AE33" s="33">
        <f>0.01*B33</f>
        <v>0.2</v>
      </c>
      <c r="AF33" s="33"/>
      <c r="AG33" s="33" t="s">
        <v>63</v>
      </c>
      <c r="AH33" s="33"/>
      <c r="AI33" s="33"/>
      <c r="AJ33" s="33"/>
      <c r="AK33" s="33"/>
      <c r="AL33" s="33"/>
      <c r="AM33" s="33"/>
      <c r="AN33" s="33"/>
      <c r="AO33" s="33"/>
      <c r="AP33" s="33"/>
      <c r="AQ33" s="33"/>
    </row>
    <row r="34" spans="1:43" ht="25.5" x14ac:dyDescent="0.25">
      <c r="A34" s="66" t="s">
        <v>174</v>
      </c>
      <c r="B34" s="3">
        <v>25</v>
      </c>
      <c r="C34" s="44" t="s">
        <v>9</v>
      </c>
      <c r="D34" s="52" t="s">
        <v>164</v>
      </c>
      <c r="E34" s="3">
        <v>0</v>
      </c>
      <c r="F34" s="44" t="s">
        <v>165</v>
      </c>
      <c r="J34" s="24" t="s">
        <v>313</v>
      </c>
      <c r="K34" s="24">
        <f>B57*B17</f>
        <v>0</v>
      </c>
      <c r="L34" s="24"/>
      <c r="M34" s="24" t="s">
        <v>312</v>
      </c>
      <c r="N34" s="24"/>
      <c r="O34" s="24"/>
      <c r="T34" s="32" t="s">
        <v>229</v>
      </c>
      <c r="U34" s="49">
        <v>750</v>
      </c>
      <c r="V34" s="25"/>
      <c r="W34" s="25" t="s">
        <v>16</v>
      </c>
      <c r="X34" s="25"/>
      <c r="Y34" s="50" t="s">
        <v>237</v>
      </c>
      <c r="Z34" s="25"/>
      <c r="AA34" s="19" t="s">
        <v>183</v>
      </c>
      <c r="AB34" s="33"/>
      <c r="AC34" s="33"/>
      <c r="AD34" s="33" t="s">
        <v>169</v>
      </c>
      <c r="AE34" s="33">
        <f>0.01*B34</f>
        <v>0.25</v>
      </c>
      <c r="AF34" s="33"/>
      <c r="AG34" s="33" t="s">
        <v>63</v>
      </c>
      <c r="AH34" s="33"/>
      <c r="AI34" s="33"/>
      <c r="AJ34" s="33"/>
      <c r="AK34" s="33"/>
      <c r="AL34" s="33"/>
      <c r="AM34" s="33"/>
      <c r="AN34" s="33"/>
      <c r="AO34" s="33"/>
      <c r="AP34" s="33"/>
      <c r="AQ34" s="33"/>
    </row>
    <row r="35" spans="1:43" ht="25.5" x14ac:dyDescent="0.25">
      <c r="A35" s="66" t="s">
        <v>175</v>
      </c>
      <c r="B35" s="3">
        <v>20</v>
      </c>
      <c r="C35" s="44" t="s">
        <v>9</v>
      </c>
      <c r="D35" s="52" t="s">
        <v>181</v>
      </c>
      <c r="E35" s="3">
        <v>55</v>
      </c>
      <c r="F35" s="44" t="s">
        <v>14</v>
      </c>
      <c r="J35" s="24" t="s">
        <v>314</v>
      </c>
      <c r="K35" s="24">
        <f>IF(E25&lt;30,150,IF(30&lt;E25&lt;100,100,80))</f>
        <v>150</v>
      </c>
      <c r="L35" s="24"/>
      <c r="M35" s="24" t="s">
        <v>264</v>
      </c>
      <c r="N35" s="24"/>
      <c r="O35" s="24"/>
      <c r="T35" s="32" t="s">
        <v>252</v>
      </c>
      <c r="U35" s="49">
        <f>6.32-0.01*6.32</f>
        <v>6.2568000000000001</v>
      </c>
      <c r="V35" s="25"/>
      <c r="W35" s="25"/>
      <c r="X35" s="25"/>
      <c r="Y35" s="50" t="s">
        <v>254</v>
      </c>
      <c r="Z35" s="25"/>
      <c r="AA35" s="19" t="s">
        <v>183</v>
      </c>
      <c r="AB35" s="33"/>
      <c r="AC35" s="33"/>
      <c r="AD35" s="33" t="s">
        <v>170</v>
      </c>
      <c r="AE35" s="33">
        <f>0.01*B35</f>
        <v>0.2</v>
      </c>
      <c r="AF35" s="33"/>
      <c r="AG35" s="33" t="s">
        <v>63</v>
      </c>
      <c r="AH35" s="33"/>
      <c r="AI35" s="33"/>
      <c r="AJ35" s="33"/>
      <c r="AK35" s="33"/>
      <c r="AL35" s="33"/>
      <c r="AM35" s="33"/>
      <c r="AN35" s="33"/>
      <c r="AO35" s="33"/>
      <c r="AP35" s="33"/>
      <c r="AQ35" s="33"/>
    </row>
    <row r="36" spans="1:43" x14ac:dyDescent="0.25">
      <c r="A36" s="66" t="s">
        <v>176</v>
      </c>
      <c r="B36" s="6">
        <v>35</v>
      </c>
      <c r="C36" s="44" t="s">
        <v>9</v>
      </c>
      <c r="D36" s="158" t="s">
        <v>370</v>
      </c>
      <c r="E36" s="3">
        <v>30</v>
      </c>
      <c r="F36" s="44" t="s">
        <v>9</v>
      </c>
      <c r="J36" s="24"/>
      <c r="K36" s="24"/>
      <c r="L36" s="24"/>
      <c r="M36" s="24"/>
      <c r="N36" s="24"/>
      <c r="O36" s="24"/>
      <c r="T36" s="32" t="s">
        <v>251</v>
      </c>
      <c r="U36" s="49">
        <f>6.72-0.01*6.72</f>
        <v>6.6528</v>
      </c>
      <c r="V36" s="25"/>
      <c r="W36" s="25"/>
      <c r="X36" s="25"/>
      <c r="Y36" s="50" t="s">
        <v>254</v>
      </c>
      <c r="Z36" s="25"/>
      <c r="AA36" s="19" t="s">
        <v>183</v>
      </c>
      <c r="AB36" s="33"/>
      <c r="AC36" s="33"/>
      <c r="AD36" s="33" t="s">
        <v>171</v>
      </c>
      <c r="AE36" s="33">
        <f>0.01*B36</f>
        <v>0.35000000000000003</v>
      </c>
      <c r="AF36" s="33"/>
      <c r="AG36" s="33" t="s">
        <v>63</v>
      </c>
      <c r="AH36" s="33"/>
      <c r="AI36" s="33"/>
      <c r="AJ36" s="33"/>
      <c r="AK36" s="33"/>
      <c r="AL36" s="33"/>
      <c r="AM36" s="33"/>
      <c r="AN36" s="33"/>
      <c r="AO36" s="33"/>
      <c r="AP36" s="33"/>
      <c r="AQ36" s="33"/>
    </row>
    <row r="37" spans="1:43" ht="15.75" thickBot="1" x14ac:dyDescent="0.3">
      <c r="A37" s="44" t="s">
        <v>178</v>
      </c>
      <c r="B37" s="68">
        <f>K22</f>
        <v>100</v>
      </c>
      <c r="C37" s="44" t="s">
        <v>9</v>
      </c>
      <c r="D37" s="158"/>
      <c r="E37" s="44"/>
      <c r="F37" s="44"/>
      <c r="J37" s="24" t="s">
        <v>315</v>
      </c>
      <c r="K37" s="24">
        <f>0.07*B62*E25</f>
        <v>0</v>
      </c>
      <c r="L37" s="24"/>
      <c r="M37" s="69">
        <v>7.0000000000000007E-2</v>
      </c>
      <c r="N37" s="24"/>
      <c r="O37" s="24"/>
      <c r="T37" s="32" t="s">
        <v>257</v>
      </c>
      <c r="U37" s="49">
        <v>59</v>
      </c>
      <c r="V37" s="25"/>
      <c r="W37" s="25" t="s">
        <v>9</v>
      </c>
      <c r="X37" s="25"/>
      <c r="Y37" s="63" t="s">
        <v>259</v>
      </c>
      <c r="Z37" s="25"/>
      <c r="AA37" s="19" t="s">
        <v>183</v>
      </c>
      <c r="AB37" s="33"/>
      <c r="AC37" s="33"/>
      <c r="AD37" s="33"/>
      <c r="AE37" s="33"/>
      <c r="AF37" s="33"/>
      <c r="AG37" s="33"/>
      <c r="AH37" s="33"/>
      <c r="AI37" s="33"/>
      <c r="AJ37" s="33"/>
      <c r="AK37" s="33"/>
      <c r="AL37" s="33"/>
      <c r="AM37" s="33"/>
      <c r="AN37" s="33"/>
      <c r="AO37" s="33"/>
      <c r="AP37" s="33"/>
      <c r="AQ37" s="33"/>
    </row>
    <row r="38" spans="1:43" ht="16.5" thickTop="1" thickBot="1" x14ac:dyDescent="0.3">
      <c r="A38" s="23"/>
      <c r="B38" s="23"/>
      <c r="C38" s="23"/>
      <c r="D38" s="23"/>
      <c r="E38" s="23"/>
      <c r="F38" s="23"/>
      <c r="J38" s="24"/>
      <c r="K38" s="24"/>
      <c r="L38" s="24"/>
      <c r="M38" s="24"/>
      <c r="N38" s="24"/>
      <c r="O38" s="24"/>
      <c r="T38" s="70"/>
      <c r="AA38" s="19" t="s">
        <v>183</v>
      </c>
      <c r="AB38" s="33"/>
      <c r="AC38" s="33"/>
      <c r="AD38" s="33" t="s">
        <v>129</v>
      </c>
      <c r="AE38" s="33">
        <f>365*((E31*E32*E35*0.01*E36)+(E33*E34*E35*0.01*E36))</f>
        <v>0</v>
      </c>
      <c r="AF38" s="33" t="s">
        <v>14</v>
      </c>
      <c r="AG38" s="33"/>
      <c r="AH38" s="33"/>
      <c r="AI38" s="33"/>
      <c r="AJ38" s="33"/>
      <c r="AK38" s="33"/>
      <c r="AL38" s="33"/>
      <c r="AM38" s="33"/>
      <c r="AN38" s="33"/>
      <c r="AO38" s="33"/>
      <c r="AP38" s="33"/>
      <c r="AQ38" s="33"/>
    </row>
    <row r="39" spans="1:43" x14ac:dyDescent="0.25">
      <c r="A39" s="154" t="s">
        <v>60</v>
      </c>
      <c r="B39" s="156"/>
      <c r="C39" s="156"/>
      <c r="D39" s="156"/>
      <c r="E39" s="156"/>
      <c r="F39" s="156"/>
      <c r="J39" s="24" t="s">
        <v>316</v>
      </c>
      <c r="K39" s="24">
        <f>B63+B62*E25</f>
        <v>0</v>
      </c>
      <c r="L39" s="24"/>
      <c r="M39" s="24" t="s">
        <v>319</v>
      </c>
      <c r="N39" s="24"/>
      <c r="O39" s="24"/>
      <c r="AB39" s="33"/>
      <c r="AC39" s="33"/>
      <c r="AD39" s="33" t="s">
        <v>88</v>
      </c>
      <c r="AE39" s="33"/>
      <c r="AF39" s="33"/>
      <c r="AG39" s="33"/>
      <c r="AH39" s="33"/>
      <c r="AI39" s="33"/>
      <c r="AJ39" s="33"/>
      <c r="AK39" s="33"/>
      <c r="AL39" s="33"/>
      <c r="AM39" s="33"/>
      <c r="AN39" s="33"/>
      <c r="AO39" s="33"/>
      <c r="AP39" s="33"/>
      <c r="AQ39" s="33"/>
    </row>
    <row r="40" spans="1:43" x14ac:dyDescent="0.25">
      <c r="A40" s="62" t="s">
        <v>92</v>
      </c>
      <c r="B40" s="135" t="s">
        <v>354</v>
      </c>
      <c r="C40" s="44"/>
      <c r="D40" s="193" t="s">
        <v>188</v>
      </c>
      <c r="E40" s="193"/>
      <c r="F40" s="193"/>
      <c r="J40" s="24" t="s">
        <v>317</v>
      </c>
      <c r="K40" s="24">
        <f>E31*(E49+E50)+E33*(E52+E53)</f>
        <v>0</v>
      </c>
      <c r="L40" s="24"/>
      <c r="M40" s="24" t="s">
        <v>320</v>
      </c>
      <c r="N40" s="24"/>
      <c r="O40" s="24"/>
      <c r="AB40" s="33"/>
      <c r="AC40" s="33"/>
      <c r="AD40" s="33" t="s">
        <v>81</v>
      </c>
      <c r="AE40" s="33">
        <v>0.33</v>
      </c>
      <c r="AF40" s="33"/>
      <c r="AG40" s="33"/>
      <c r="AH40" s="33"/>
      <c r="AI40" s="33"/>
      <c r="AJ40" s="33"/>
      <c r="AK40" s="33"/>
      <c r="AL40" s="33"/>
      <c r="AM40" s="33"/>
      <c r="AN40" s="33"/>
      <c r="AO40" s="33"/>
      <c r="AP40" s="33"/>
      <c r="AQ40" s="33"/>
    </row>
    <row r="41" spans="1:43" ht="25.5" x14ac:dyDescent="0.25">
      <c r="A41" s="52" t="s">
        <v>182</v>
      </c>
      <c r="B41" s="7">
        <v>0</v>
      </c>
      <c r="C41" s="44" t="s">
        <v>14</v>
      </c>
      <c r="D41" s="71" t="s">
        <v>372</v>
      </c>
      <c r="E41" s="64">
        <f>AD95</f>
        <v>0</v>
      </c>
      <c r="F41" s="64"/>
      <c r="J41" s="24" t="s">
        <v>318</v>
      </c>
      <c r="K41" s="24">
        <f xml:space="preserve"> IF( B41&lt;=100, 500, IF( B41&lt;=500, 400, IF( B41&lt;=1000, 300, 250)))</f>
        <v>500</v>
      </c>
      <c r="L41" s="24"/>
      <c r="M41" s="72" t="s">
        <v>264</v>
      </c>
      <c r="N41" s="24"/>
      <c r="O41" s="24"/>
      <c r="AB41" s="33"/>
      <c r="AC41" s="33"/>
      <c r="AD41" s="33" t="s">
        <v>82</v>
      </c>
      <c r="AE41" s="33">
        <v>0.33</v>
      </c>
      <c r="AF41" s="33"/>
      <c r="AG41" s="33"/>
      <c r="AH41" s="33"/>
      <c r="AI41" s="33"/>
      <c r="AJ41" s="33"/>
      <c r="AK41" s="33"/>
      <c r="AL41" s="33"/>
      <c r="AM41" s="33"/>
      <c r="AN41" s="33"/>
      <c r="AO41" s="33"/>
      <c r="AP41" s="33"/>
      <c r="AQ41" s="33"/>
    </row>
    <row r="42" spans="1:43" ht="25.5" x14ac:dyDescent="0.25">
      <c r="A42" s="194" t="s">
        <v>378</v>
      </c>
      <c r="B42" s="153"/>
      <c r="C42" s="153"/>
      <c r="D42" s="71" t="s">
        <v>371</v>
      </c>
      <c r="E42" s="64">
        <f>AD96</f>
        <v>0</v>
      </c>
      <c r="F42" s="64"/>
      <c r="J42" s="24"/>
      <c r="K42" s="24">
        <f xml:space="preserve"> B41 * E62</f>
        <v>0</v>
      </c>
      <c r="L42" s="24"/>
      <c r="M42" s="72" t="s">
        <v>264</v>
      </c>
      <c r="N42" s="24"/>
      <c r="O42" s="24"/>
      <c r="AB42" s="33"/>
      <c r="AC42" s="33"/>
      <c r="AD42" s="33" t="s">
        <v>83</v>
      </c>
      <c r="AE42" s="33">
        <v>0.33</v>
      </c>
      <c r="AF42" s="33"/>
      <c r="AG42" s="33"/>
      <c r="AH42" s="33"/>
      <c r="AI42" s="33"/>
      <c r="AJ42" s="33"/>
      <c r="AK42" s="33"/>
      <c r="AL42" s="33"/>
      <c r="AM42" s="33"/>
      <c r="AN42" s="33"/>
      <c r="AO42" s="33"/>
      <c r="AP42" s="33"/>
      <c r="AQ42" s="33"/>
    </row>
    <row r="43" spans="1:43" ht="25.5" x14ac:dyDescent="0.25">
      <c r="A43" s="153"/>
      <c r="B43" s="153"/>
      <c r="C43" s="153"/>
      <c r="D43" s="71" t="s">
        <v>190</v>
      </c>
      <c r="E43" s="73" t="e">
        <f>AD100*100</f>
        <v>#DIV/0!</v>
      </c>
      <c r="F43" s="64" t="s">
        <v>9</v>
      </c>
      <c r="J43" s="24" t="s">
        <v>321</v>
      </c>
      <c r="K43" s="24">
        <f>K42*0.07</f>
        <v>0</v>
      </c>
      <c r="L43" s="24"/>
      <c r="M43" s="74">
        <v>7.0000000000000007E-2</v>
      </c>
      <c r="N43" s="24"/>
      <c r="O43" s="24"/>
      <c r="AB43" s="33"/>
      <c r="AC43" s="33"/>
      <c r="AD43" s="33"/>
      <c r="AE43" s="33"/>
      <c r="AF43" s="33"/>
      <c r="AG43" s="33"/>
      <c r="AH43" s="33"/>
      <c r="AI43" s="33"/>
      <c r="AJ43" s="33"/>
      <c r="AK43" s="33"/>
      <c r="AL43" s="33"/>
      <c r="AM43" s="33"/>
      <c r="AN43" s="33"/>
      <c r="AO43" s="33"/>
      <c r="AP43" s="33"/>
      <c r="AQ43" s="33"/>
    </row>
    <row r="44" spans="1:43" ht="25.5" x14ac:dyDescent="0.25">
      <c r="A44" s="153"/>
      <c r="B44" s="153"/>
      <c r="C44" s="153"/>
      <c r="D44" s="71" t="s">
        <v>193</v>
      </c>
      <c r="E44" s="73" t="e">
        <f>AD101*100</f>
        <v>#DIV/0!</v>
      </c>
      <c r="F44" s="64" t="s">
        <v>9</v>
      </c>
      <c r="J44" s="24" t="s">
        <v>322</v>
      </c>
      <c r="K44" s="24">
        <f>E63+E62*B41</f>
        <v>0</v>
      </c>
      <c r="L44" s="24"/>
      <c r="M44" s="72" t="s">
        <v>271</v>
      </c>
      <c r="N44" s="24"/>
      <c r="O44" s="24"/>
      <c r="AB44" s="33"/>
      <c r="AC44" s="33"/>
      <c r="AD44" s="33" t="s">
        <v>90</v>
      </c>
      <c r="AE44" s="33">
        <f>(AE31+AE38)/365</f>
        <v>0</v>
      </c>
      <c r="AF44" s="33" t="s">
        <v>14</v>
      </c>
      <c r="AG44" s="33"/>
      <c r="AH44" s="33"/>
      <c r="AI44" s="33"/>
      <c r="AJ44" s="33"/>
      <c r="AK44" s="33"/>
      <c r="AL44" s="33"/>
      <c r="AM44" s="33"/>
      <c r="AN44" s="33"/>
      <c r="AO44" s="33"/>
      <c r="AP44" s="33"/>
      <c r="AQ44" s="33"/>
    </row>
    <row r="45" spans="1:43" ht="14.45" customHeight="1" thickBot="1" x14ac:dyDescent="0.3">
      <c r="A45" s="195"/>
      <c r="B45" s="195"/>
      <c r="C45" s="195"/>
      <c r="D45" s="23"/>
      <c r="E45" s="23"/>
      <c r="F45" s="23"/>
      <c r="J45" s="141" t="s">
        <v>238</v>
      </c>
      <c r="K45" s="141"/>
      <c r="L45" s="141"/>
      <c r="M45" s="75"/>
      <c r="N45" s="45"/>
      <c r="O45" s="45"/>
      <c r="AB45" s="33"/>
      <c r="AC45" s="33"/>
      <c r="AD45" s="33" t="s">
        <v>81</v>
      </c>
      <c r="AE45" s="33">
        <f>AE33*$AE$31/365+AE40*$AE$38/365</f>
        <v>0</v>
      </c>
      <c r="AF45" s="33" t="s">
        <v>14</v>
      </c>
      <c r="AG45" s="33"/>
      <c r="AH45" s="33"/>
      <c r="AI45" s="33"/>
      <c r="AJ45" s="33"/>
      <c r="AK45" s="33"/>
      <c r="AL45" s="33"/>
      <c r="AM45" s="33"/>
      <c r="AN45" s="33"/>
      <c r="AO45" s="33"/>
      <c r="AP45" s="33"/>
      <c r="AQ45" s="33"/>
    </row>
    <row r="46" spans="1:43" ht="14.45" customHeight="1" thickBot="1" x14ac:dyDescent="0.3">
      <c r="A46" s="149" t="s">
        <v>194</v>
      </c>
      <c r="B46" s="150"/>
      <c r="C46" s="150"/>
      <c r="D46" s="150"/>
      <c r="E46" s="150"/>
      <c r="F46" s="151"/>
      <c r="J46" s="31" t="s">
        <v>27</v>
      </c>
      <c r="K46" s="31" t="s">
        <v>28</v>
      </c>
      <c r="L46" s="24"/>
      <c r="M46" s="24" t="s">
        <v>133</v>
      </c>
      <c r="N46" s="24"/>
      <c r="O46" s="24"/>
      <c r="AB46" s="33"/>
      <c r="AC46" s="33"/>
      <c r="AD46" s="33" t="s">
        <v>82</v>
      </c>
      <c r="AE46" s="33">
        <f t="shared" ref="AE46:AE48" si="10">AE34*$AE$31/365+AE41*$AE$38/365</f>
        <v>0</v>
      </c>
      <c r="AF46" s="33" t="s">
        <v>14</v>
      </c>
      <c r="AG46" s="33"/>
      <c r="AH46" s="33"/>
      <c r="AI46" s="33"/>
      <c r="AJ46" s="33"/>
      <c r="AK46" s="33"/>
      <c r="AL46" s="33"/>
      <c r="AM46" s="33"/>
      <c r="AN46" s="33"/>
      <c r="AO46" s="33"/>
      <c r="AP46" s="33"/>
      <c r="AQ46" s="33"/>
    </row>
    <row r="47" spans="1:43" x14ac:dyDescent="0.25">
      <c r="A47" s="154" t="s">
        <v>196</v>
      </c>
      <c r="B47" s="156"/>
      <c r="C47" s="156"/>
      <c r="D47" s="156"/>
      <c r="E47" s="156"/>
      <c r="F47" s="156"/>
      <c r="J47" s="24" t="s">
        <v>323</v>
      </c>
      <c r="K47" s="24">
        <f>0.01*B58</f>
        <v>0</v>
      </c>
      <c r="L47" s="24"/>
      <c r="M47" s="69">
        <v>0.01</v>
      </c>
      <c r="N47" s="24"/>
      <c r="O47" s="24"/>
      <c r="AB47" s="33"/>
      <c r="AC47" s="33"/>
      <c r="AD47" s="33" t="s">
        <v>83</v>
      </c>
      <c r="AE47" s="33">
        <f t="shared" si="10"/>
        <v>0</v>
      </c>
      <c r="AF47" s="33" t="s">
        <v>14</v>
      </c>
      <c r="AG47" s="33"/>
      <c r="AH47" s="33"/>
      <c r="AI47" s="33"/>
      <c r="AJ47" s="33"/>
      <c r="AK47" s="33"/>
      <c r="AL47" s="33"/>
      <c r="AM47" s="33"/>
      <c r="AN47" s="33"/>
      <c r="AO47" s="33"/>
      <c r="AP47" s="33"/>
      <c r="AQ47" s="33"/>
    </row>
    <row r="48" spans="1:43" x14ac:dyDescent="0.25">
      <c r="A48" s="152" t="s">
        <v>197</v>
      </c>
      <c r="B48" s="152"/>
      <c r="C48" s="152"/>
      <c r="D48" s="152" t="s">
        <v>220</v>
      </c>
      <c r="E48" s="152"/>
      <c r="F48" s="152"/>
      <c r="J48" s="24" t="s">
        <v>324</v>
      </c>
      <c r="K48" s="24">
        <f>IF(AND(E26&gt;100000,D29="Volleinspeisung"),SUM(B70:B72),B71+B72)</f>
        <v>895</v>
      </c>
      <c r="L48" s="24"/>
      <c r="M48" s="24" t="s">
        <v>369</v>
      </c>
      <c r="N48" s="24"/>
      <c r="O48" s="24"/>
      <c r="AB48" s="33"/>
      <c r="AC48" s="33"/>
      <c r="AD48" s="33" t="s">
        <v>89</v>
      </c>
      <c r="AE48" s="33">
        <f t="shared" si="10"/>
        <v>0</v>
      </c>
      <c r="AF48" s="33" t="s">
        <v>14</v>
      </c>
      <c r="AG48" s="33"/>
      <c r="AH48" s="33"/>
      <c r="AI48" s="33"/>
      <c r="AJ48" s="33"/>
      <c r="AK48" s="33"/>
      <c r="AL48" s="33"/>
      <c r="AM48" s="33"/>
      <c r="AN48" s="33"/>
      <c r="AO48" s="33"/>
      <c r="AP48" s="33"/>
      <c r="AQ48" s="33"/>
    </row>
    <row r="49" spans="1:43" ht="25.5" collapsed="1" x14ac:dyDescent="0.25">
      <c r="A49" s="52" t="s">
        <v>207</v>
      </c>
      <c r="B49" s="7">
        <v>423</v>
      </c>
      <c r="C49" s="44" t="s">
        <v>208</v>
      </c>
      <c r="D49" s="77" t="s">
        <v>221</v>
      </c>
      <c r="E49" s="8">
        <v>1500</v>
      </c>
      <c r="F49" s="44" t="s">
        <v>16</v>
      </c>
      <c r="J49" s="24" t="s">
        <v>325</v>
      </c>
      <c r="K49" s="24">
        <f>(E70*E31+E33*E71)</f>
        <v>0</v>
      </c>
      <c r="L49" s="24"/>
      <c r="M49" s="24" t="s">
        <v>319</v>
      </c>
      <c r="N49" s="24"/>
      <c r="O49" s="24"/>
      <c r="AB49" s="33" t="s">
        <v>91</v>
      </c>
      <c r="AC49" s="33"/>
      <c r="AD49" s="33"/>
      <c r="AE49" s="33"/>
      <c r="AF49" s="33"/>
      <c r="AG49" s="33"/>
      <c r="AH49" s="33"/>
      <c r="AI49" s="33"/>
      <c r="AJ49" s="33"/>
      <c r="AK49" s="33"/>
      <c r="AL49" s="33"/>
      <c r="AM49" s="33"/>
      <c r="AN49" s="33"/>
      <c r="AO49" s="33"/>
      <c r="AP49" s="33"/>
      <c r="AQ49" s="33"/>
    </row>
    <row r="50" spans="1:43" ht="28.5" customHeight="1" x14ac:dyDescent="0.25">
      <c r="A50" s="187" t="s">
        <v>355</v>
      </c>
      <c r="B50" s="187"/>
      <c r="C50" s="187"/>
      <c r="D50" s="77" t="s">
        <v>222</v>
      </c>
      <c r="E50" s="8">
        <v>4000</v>
      </c>
      <c r="F50" s="44" t="s">
        <v>16</v>
      </c>
      <c r="J50" s="161" t="s">
        <v>234</v>
      </c>
      <c r="K50" s="161"/>
      <c r="L50" s="161"/>
      <c r="M50" s="72"/>
      <c r="N50" s="24"/>
      <c r="O50" s="24"/>
      <c r="AB50" s="33"/>
      <c r="AC50" s="33"/>
      <c r="AD50" s="33"/>
      <c r="AE50" s="33"/>
      <c r="AF50" s="33"/>
      <c r="AG50" s="33"/>
      <c r="AH50" s="33"/>
      <c r="AI50" s="33"/>
      <c r="AJ50" s="33"/>
      <c r="AK50" s="33"/>
      <c r="AL50" s="33"/>
      <c r="AM50" s="33"/>
      <c r="AN50" s="33"/>
      <c r="AO50" s="33"/>
      <c r="AP50" s="33"/>
      <c r="AQ50" s="33"/>
    </row>
    <row r="51" spans="1:43" x14ac:dyDescent="0.25">
      <c r="A51" s="77" t="s">
        <v>210</v>
      </c>
      <c r="B51" s="8"/>
      <c r="C51" s="44" t="s">
        <v>208</v>
      </c>
      <c r="D51" s="77"/>
      <c r="E51" s="78"/>
      <c r="F51" s="44"/>
      <c r="J51" s="31" t="s">
        <v>27</v>
      </c>
      <c r="K51" s="31" t="s">
        <v>28</v>
      </c>
      <c r="L51" s="24"/>
      <c r="M51" s="24" t="s">
        <v>133</v>
      </c>
      <c r="N51" s="24"/>
      <c r="O51" s="24"/>
      <c r="AB51" s="33"/>
      <c r="AC51" s="33"/>
      <c r="AD51" s="33" t="s">
        <v>186</v>
      </c>
      <c r="AE51" s="33"/>
      <c r="AF51" s="33"/>
      <c r="AG51" s="33"/>
      <c r="AH51" s="33"/>
      <c r="AI51" s="33"/>
      <c r="AJ51" s="33"/>
      <c r="AK51" s="33"/>
      <c r="AL51" s="33"/>
      <c r="AM51" s="33"/>
      <c r="AN51" s="33"/>
      <c r="AO51" s="33"/>
      <c r="AP51" s="33"/>
      <c r="AQ51" s="33"/>
    </row>
    <row r="52" spans="1:43" ht="25.5" x14ac:dyDescent="0.25">
      <c r="A52" s="77" t="s">
        <v>211</v>
      </c>
      <c r="B52" s="8"/>
      <c r="C52" s="44" t="s">
        <v>208</v>
      </c>
      <c r="D52" s="77" t="s">
        <v>223</v>
      </c>
      <c r="E52" s="8">
        <v>20000</v>
      </c>
      <c r="F52" s="44" t="s">
        <v>16</v>
      </c>
      <c r="J52" s="24" t="s">
        <v>326</v>
      </c>
      <c r="K52" s="24" t="str">
        <f>IF(E25&lt;100,"&lt;100",IF(E25&lt;1000,"&gt;100 und &lt;1000","&gt;1000"))</f>
        <v>&lt;100</v>
      </c>
      <c r="L52" s="24"/>
      <c r="M52" s="24" t="s">
        <v>264</v>
      </c>
      <c r="N52" s="24"/>
      <c r="O52" s="24"/>
      <c r="AB52" s="33"/>
      <c r="AC52" s="33"/>
      <c r="AD52" s="33" t="s">
        <v>377</v>
      </c>
      <c r="AE52" s="33">
        <f>AI16-AE45-AE46-AE47</f>
        <v>0</v>
      </c>
      <c r="AF52" s="33" t="s">
        <v>14</v>
      </c>
      <c r="AG52" s="33"/>
      <c r="AH52" s="33"/>
      <c r="AI52" s="33"/>
      <c r="AJ52" s="33"/>
      <c r="AK52" s="33"/>
      <c r="AL52" s="33"/>
      <c r="AM52" s="33"/>
      <c r="AN52" s="33"/>
      <c r="AO52" s="33"/>
      <c r="AP52" s="33"/>
      <c r="AQ52" s="33"/>
    </row>
    <row r="53" spans="1:43" ht="25.5" x14ac:dyDescent="0.25">
      <c r="A53" s="77" t="s">
        <v>212</v>
      </c>
      <c r="B53" s="8"/>
      <c r="C53" s="44" t="s">
        <v>208</v>
      </c>
      <c r="D53" s="77" t="s">
        <v>224</v>
      </c>
      <c r="E53" s="8">
        <v>30000</v>
      </c>
      <c r="F53" s="44" t="s">
        <v>16</v>
      </c>
      <c r="J53" s="24" t="s">
        <v>327</v>
      </c>
      <c r="K53" s="24">
        <f>IF(SUM(K$13:O$13)=1,U35,IF(SUM(K$13:O$13)=2,U35-0.01*U35,IF(SUM(K$13:O$13)=3,(U35-0.01*U35)-0.01*(U35-0.01*U35),IF(SUM(K$13:O$13)=4,(U35-0.01*U35)-0.01*(U35-0.01*U35)-0.01*(U35-0.01*U35)-0.01*(U35-0.01*U35),(U35-0.01*U35)-0.01*(U35-0.01*U35)-0.01*(U35-0.01*U35)-0.01*(U35-0.01*U35)-0.01*(U35-0.01*U35)-0.01*(U35-0.01*U35)-0.01*(U35-0.01*U35)-0.01*(U35-0.01*U35)))))</f>
        <v>6.2568000000000001</v>
      </c>
      <c r="L53" s="24"/>
      <c r="M53" s="24" t="s">
        <v>356</v>
      </c>
      <c r="N53" s="24"/>
      <c r="O53" s="24"/>
      <c r="AB53" s="33"/>
      <c r="AC53" s="33"/>
      <c r="AD53" s="33" t="s">
        <v>92</v>
      </c>
      <c r="AE53" s="79">
        <f>B41</f>
        <v>0</v>
      </c>
      <c r="AF53" s="33" t="s">
        <v>14</v>
      </c>
      <c r="AG53" s="33"/>
      <c r="AH53" s="33"/>
      <c r="AI53" s="33"/>
      <c r="AJ53" s="33"/>
      <c r="AK53" s="33"/>
      <c r="AL53" s="33"/>
      <c r="AM53" s="33"/>
      <c r="AN53" s="33"/>
      <c r="AO53" s="33"/>
      <c r="AP53" s="33"/>
      <c r="AQ53" s="33"/>
    </row>
    <row r="54" spans="1:43" x14ac:dyDescent="0.25">
      <c r="A54" s="77" t="s">
        <v>209</v>
      </c>
      <c r="B54" s="8"/>
      <c r="C54" s="44" t="s">
        <v>208</v>
      </c>
      <c r="D54" s="80"/>
      <c r="E54" s="80"/>
      <c r="F54" s="80"/>
      <c r="J54" s="24" t="s">
        <v>328</v>
      </c>
      <c r="K54" s="24">
        <f>IF(SUM(K$13:O$13)=1,U36,IF(SUM(K$13:O$13)=2,U36-0.01*U36,IF(SUM(K$13:O$13)=3,(U36-0.01*U36)-0.01*(U36-0.01*U36),IF(SUM(K$13:O$13)=4,(U36-0.01*U36)-0.01*(U36-0.01*U36)-0.01*(U36-0.01*U36)-0.01*(U36-0.01*U36),(U36-0.01*U36)-0.01*(U36-0.01*U36)-0.01*(U36-0.01*U36)-0.01*(U36-0.01*U36)-0.01*(U36-0.01*U36)-0.01*(U36-0.01*U36)-0.01*(U36-0.01*U36)-0.01*(U36-0.01*U36)))))</f>
        <v>6.6528</v>
      </c>
      <c r="L54" s="24"/>
      <c r="M54" s="24" t="s">
        <v>356</v>
      </c>
      <c r="N54" s="24"/>
      <c r="O54" s="24"/>
      <c r="AB54" s="33"/>
      <c r="AC54" s="33"/>
      <c r="AD54" s="33"/>
      <c r="AE54" s="33"/>
      <c r="AF54" s="33"/>
      <c r="AG54" s="33"/>
      <c r="AH54" s="33"/>
      <c r="AI54" s="33"/>
      <c r="AJ54" s="33"/>
      <c r="AK54" s="33"/>
      <c r="AL54" s="33"/>
      <c r="AM54" s="33"/>
      <c r="AN54" s="33"/>
      <c r="AO54" s="33"/>
      <c r="AP54" s="33"/>
      <c r="AQ54" s="33"/>
    </row>
    <row r="55" spans="1:43" ht="25.5" x14ac:dyDescent="0.25">
      <c r="A55" s="77" t="s">
        <v>213</v>
      </c>
      <c r="B55" s="8"/>
      <c r="C55" s="44" t="s">
        <v>9</v>
      </c>
      <c r="D55" s="80"/>
      <c r="E55" s="80"/>
      <c r="F55" s="80"/>
      <c r="J55" s="24" t="s">
        <v>330</v>
      </c>
      <c r="K55" s="24">
        <f>IF(E25&lt;100,E26*K53*0.01,E26*K54*0.01)</f>
        <v>0</v>
      </c>
      <c r="L55" s="24"/>
      <c r="M55" s="24" t="s">
        <v>261</v>
      </c>
      <c r="N55" s="24"/>
      <c r="O55" s="24"/>
      <c r="AB55" s="33" t="s">
        <v>93</v>
      </c>
      <c r="AC55" s="33"/>
      <c r="AD55" s="33"/>
      <c r="AE55" s="33"/>
      <c r="AF55" s="33"/>
      <c r="AG55" s="33"/>
      <c r="AH55" s="33"/>
      <c r="AI55" s="33"/>
      <c r="AJ55" s="33"/>
      <c r="AK55" s="33"/>
      <c r="AL55" s="33"/>
      <c r="AM55" s="33"/>
      <c r="AN55" s="33"/>
      <c r="AO55" s="33"/>
      <c r="AP55" s="33"/>
      <c r="AQ55" s="33"/>
    </row>
    <row r="56" spans="1:43" x14ac:dyDescent="0.25">
      <c r="A56" s="77" t="s">
        <v>214</v>
      </c>
      <c r="B56" s="8"/>
      <c r="C56" s="44" t="s">
        <v>208</v>
      </c>
      <c r="D56" s="80"/>
      <c r="E56" s="80"/>
      <c r="F56" s="80"/>
      <c r="J56" s="24" t="s">
        <v>330</v>
      </c>
      <c r="K56" s="24">
        <f>E26*B83*0.01*B84*0.01</f>
        <v>0</v>
      </c>
      <c r="L56" s="24"/>
      <c r="M56" s="24" t="s">
        <v>262</v>
      </c>
      <c r="N56" s="24"/>
      <c r="O56" s="24"/>
      <c r="AB56" s="33"/>
      <c r="AC56" s="33"/>
      <c r="AD56" s="33" t="s">
        <v>65</v>
      </c>
      <c r="AE56" s="33" t="s">
        <v>66</v>
      </c>
      <c r="AF56" s="33" t="s">
        <v>67</v>
      </c>
      <c r="AG56" s="33" t="s">
        <v>68</v>
      </c>
      <c r="AH56" s="33" t="s">
        <v>69</v>
      </c>
      <c r="AI56" s="33" t="s">
        <v>70</v>
      </c>
      <c r="AJ56" s="33" t="s">
        <v>71</v>
      </c>
      <c r="AK56" s="33" t="s">
        <v>72</v>
      </c>
      <c r="AL56" s="33" t="s">
        <v>73</v>
      </c>
      <c r="AM56" s="33" t="s">
        <v>74</v>
      </c>
      <c r="AN56" s="33" t="s">
        <v>75</v>
      </c>
      <c r="AO56" s="33" t="s">
        <v>76</v>
      </c>
      <c r="AP56" s="33" t="s">
        <v>357</v>
      </c>
      <c r="AQ56" s="33"/>
    </row>
    <row r="57" spans="1:43" ht="24.95" customHeight="1" x14ac:dyDescent="0.25">
      <c r="A57" s="188" t="s">
        <v>218</v>
      </c>
      <c r="B57" s="47">
        <f>K33</f>
        <v>423</v>
      </c>
      <c r="C57" s="59" t="s">
        <v>208</v>
      </c>
      <c r="D57" s="45"/>
      <c r="E57" s="45"/>
      <c r="F57" s="45"/>
      <c r="J57" s="24" t="s">
        <v>330</v>
      </c>
      <c r="K57" s="24">
        <f>E26*E83*0.01</f>
        <v>0</v>
      </c>
      <c r="L57" s="24"/>
      <c r="M57" s="24" t="s">
        <v>263</v>
      </c>
      <c r="N57" s="24"/>
      <c r="O57" s="24"/>
      <c r="AB57" s="33" t="s">
        <v>94</v>
      </c>
      <c r="AC57" s="33"/>
      <c r="AD57" s="33"/>
      <c r="AE57" s="33"/>
      <c r="AF57" s="33"/>
      <c r="AG57" s="33"/>
      <c r="AH57" s="33"/>
      <c r="AI57" s="33"/>
      <c r="AJ57" s="33"/>
      <c r="AK57" s="33"/>
      <c r="AL57" s="33"/>
      <c r="AM57" s="33"/>
      <c r="AN57" s="33"/>
      <c r="AO57" s="33"/>
      <c r="AP57" s="33"/>
      <c r="AQ57" s="33"/>
    </row>
    <row r="58" spans="1:43" x14ac:dyDescent="0.25">
      <c r="A58" s="188"/>
      <c r="B58" s="47">
        <f>K34</f>
        <v>0</v>
      </c>
      <c r="C58" s="59" t="s">
        <v>16</v>
      </c>
      <c r="D58" s="81" t="s">
        <v>226</v>
      </c>
      <c r="E58" s="47">
        <f>K40</f>
        <v>0</v>
      </c>
      <c r="F58" s="59" t="s">
        <v>16</v>
      </c>
      <c r="J58" s="24" t="s">
        <v>329</v>
      </c>
      <c r="K58" s="24">
        <f>IF(C82="Direktvermarktung",K56,IF(C82="PPA",K57,K55))</f>
        <v>0</v>
      </c>
      <c r="L58" s="24"/>
      <c r="M58" s="24" t="s">
        <v>264</v>
      </c>
      <c r="N58" s="24"/>
      <c r="O58" s="24"/>
      <c r="AB58" s="33" t="s">
        <v>96</v>
      </c>
      <c r="AC58" s="33" t="s">
        <v>97</v>
      </c>
      <c r="AD58" s="33"/>
      <c r="AE58" s="33"/>
      <c r="AF58" s="33"/>
      <c r="AG58" s="33"/>
      <c r="AH58" s="33"/>
      <c r="AI58" s="33"/>
      <c r="AJ58" s="33"/>
      <c r="AK58" s="33"/>
      <c r="AL58" s="33"/>
      <c r="AM58" s="33"/>
      <c r="AN58" s="33"/>
      <c r="AO58" s="33"/>
      <c r="AP58" s="33"/>
      <c r="AQ58" s="33"/>
    </row>
    <row r="59" spans="1:43" ht="51" x14ac:dyDescent="0.25">
      <c r="A59" s="82" t="s">
        <v>358</v>
      </c>
      <c r="B59" s="9"/>
      <c r="C59" s="84" t="s">
        <v>16</v>
      </c>
      <c r="D59" s="82" t="s">
        <v>358</v>
      </c>
      <c r="E59" s="9"/>
      <c r="F59" s="84" t="s">
        <v>16</v>
      </c>
      <c r="J59" s="24" t="s">
        <v>331</v>
      </c>
      <c r="K59" s="24">
        <f>E15*0.01*AD99</f>
        <v>0</v>
      </c>
      <c r="L59" s="24"/>
      <c r="M59" s="24" t="s">
        <v>267</v>
      </c>
      <c r="N59" s="24"/>
      <c r="O59" s="24"/>
      <c r="AB59" s="33" t="s">
        <v>81</v>
      </c>
      <c r="AC59" s="33"/>
      <c r="AD59" s="33">
        <f>IF($B$22="Süd-Ausrichtung",AD19,AD24)-$AE45</f>
        <v>0</v>
      </c>
      <c r="AE59" s="33">
        <f t="shared" ref="AE59:AO59" si="11">IF($B$22="Süd-Ausrichtung",AE19,AE24)-$AE45</f>
        <v>0</v>
      </c>
      <c r="AF59" s="33">
        <f t="shared" si="11"/>
        <v>0</v>
      </c>
      <c r="AG59" s="33">
        <f t="shared" si="11"/>
        <v>0</v>
      </c>
      <c r="AH59" s="33">
        <f t="shared" si="11"/>
        <v>0</v>
      </c>
      <c r="AI59" s="33">
        <f t="shared" si="11"/>
        <v>0</v>
      </c>
      <c r="AJ59" s="33">
        <f t="shared" si="11"/>
        <v>0</v>
      </c>
      <c r="AK59" s="33">
        <f t="shared" si="11"/>
        <v>0</v>
      </c>
      <c r="AL59" s="33">
        <f t="shared" si="11"/>
        <v>0</v>
      </c>
      <c r="AM59" s="33">
        <f t="shared" si="11"/>
        <v>0</v>
      </c>
      <c r="AN59" s="33">
        <f t="shared" si="11"/>
        <v>0</v>
      </c>
      <c r="AO59" s="33">
        <f t="shared" si="11"/>
        <v>0</v>
      </c>
      <c r="AP59" s="33"/>
      <c r="AQ59" s="33"/>
    </row>
    <row r="60" spans="1:43" x14ac:dyDescent="0.25">
      <c r="A60" s="23"/>
      <c r="B60" s="23"/>
      <c r="C60" s="23"/>
      <c r="D60" s="23"/>
      <c r="E60" s="23"/>
      <c r="F60" s="23"/>
      <c r="J60" s="24" t="s">
        <v>332</v>
      </c>
      <c r="K60" s="24">
        <f>AD108*E15*0.01</f>
        <v>0</v>
      </c>
      <c r="L60" s="24"/>
      <c r="M60" s="24" t="s">
        <v>266</v>
      </c>
      <c r="N60" s="24"/>
      <c r="O60" s="24"/>
      <c r="AB60" s="33" t="s">
        <v>82</v>
      </c>
      <c r="AC60" s="33"/>
      <c r="AD60" s="33">
        <f>IF($B$22="Süd-Ausrichtung",AD20,AD25)-$AE46</f>
        <v>0</v>
      </c>
      <c r="AE60" s="33">
        <f t="shared" ref="AE60:AO60" si="12">IF($B$22="Süd-Ausrichtung",AE20,AE25)-$AE46</f>
        <v>0</v>
      </c>
      <c r="AF60" s="33">
        <f t="shared" si="12"/>
        <v>0</v>
      </c>
      <c r="AG60" s="33">
        <f t="shared" si="12"/>
        <v>0</v>
      </c>
      <c r="AH60" s="33">
        <f t="shared" si="12"/>
        <v>0</v>
      </c>
      <c r="AI60" s="33">
        <f t="shared" si="12"/>
        <v>0</v>
      </c>
      <c r="AJ60" s="33">
        <f t="shared" si="12"/>
        <v>0</v>
      </c>
      <c r="AK60" s="33">
        <f t="shared" si="12"/>
        <v>0</v>
      </c>
      <c r="AL60" s="33">
        <f t="shared" si="12"/>
        <v>0</v>
      </c>
      <c r="AM60" s="33">
        <f t="shared" si="12"/>
        <v>0</v>
      </c>
      <c r="AN60" s="33">
        <f t="shared" si="12"/>
        <v>0</v>
      </c>
      <c r="AO60" s="33">
        <f t="shared" si="12"/>
        <v>0</v>
      </c>
      <c r="AP60" s="33"/>
      <c r="AQ60" s="33"/>
    </row>
    <row r="61" spans="1:43" x14ac:dyDescent="0.25">
      <c r="A61" s="155" t="s">
        <v>215</v>
      </c>
      <c r="B61" s="155"/>
      <c r="C61" s="155"/>
      <c r="D61" s="155" t="s">
        <v>60</v>
      </c>
      <c r="E61" s="155"/>
      <c r="F61" s="155"/>
      <c r="J61" s="24" t="s">
        <v>333</v>
      </c>
      <c r="K61" s="24">
        <f>IF(E25&lt;100,AD97*K53*0.01,AD97*K54*0.01)</f>
        <v>0</v>
      </c>
      <c r="L61" s="24"/>
      <c r="M61" s="24" t="s">
        <v>56</v>
      </c>
      <c r="N61" s="24"/>
      <c r="O61" s="24"/>
      <c r="AB61" s="33" t="s">
        <v>83</v>
      </c>
      <c r="AC61" s="33"/>
      <c r="AD61" s="33">
        <f>IF($B$22="Süd-Ausrichtung",AD21,AD26)-$AE47</f>
        <v>0</v>
      </c>
      <c r="AE61" s="33">
        <f t="shared" ref="AE61:AO61" si="13">IF($B$22="Süd-Ausrichtung",AE21,AE26)-$AE47</f>
        <v>0</v>
      </c>
      <c r="AF61" s="33">
        <f t="shared" si="13"/>
        <v>0</v>
      </c>
      <c r="AG61" s="33">
        <f t="shared" si="13"/>
        <v>0</v>
      </c>
      <c r="AH61" s="33">
        <f t="shared" si="13"/>
        <v>0</v>
      </c>
      <c r="AI61" s="33">
        <f t="shared" si="13"/>
        <v>0</v>
      </c>
      <c r="AJ61" s="33">
        <f t="shared" si="13"/>
        <v>0</v>
      </c>
      <c r="AK61" s="33">
        <f t="shared" si="13"/>
        <v>0</v>
      </c>
      <c r="AL61" s="33">
        <f t="shared" si="13"/>
        <v>0</v>
      </c>
      <c r="AM61" s="33">
        <f t="shared" si="13"/>
        <v>0</v>
      </c>
      <c r="AN61" s="33">
        <f t="shared" si="13"/>
        <v>0</v>
      </c>
      <c r="AO61" s="33">
        <f t="shared" si="13"/>
        <v>0</v>
      </c>
      <c r="AP61" s="33"/>
      <c r="AQ61" s="33"/>
    </row>
    <row r="62" spans="1:43" ht="25.5" x14ac:dyDescent="0.25">
      <c r="A62" s="52" t="s">
        <v>217</v>
      </c>
      <c r="B62" s="8">
        <v>150</v>
      </c>
      <c r="C62" s="44" t="s">
        <v>216</v>
      </c>
      <c r="D62" s="77" t="s">
        <v>359</v>
      </c>
      <c r="E62" s="8">
        <v>500</v>
      </c>
      <c r="F62" s="44" t="s">
        <v>15</v>
      </c>
      <c r="J62" s="24" t="s">
        <v>334</v>
      </c>
      <c r="K62" s="24">
        <f>IF(E25&lt;100,AD107*K53*0.01,AD107*K54*0.01)</f>
        <v>0</v>
      </c>
      <c r="L62" s="24"/>
      <c r="M62" s="24" t="s">
        <v>266</v>
      </c>
      <c r="N62" s="24"/>
      <c r="O62" s="24"/>
      <c r="AB62" s="33" t="s">
        <v>89</v>
      </c>
      <c r="AC62" s="33"/>
      <c r="AD62" s="33">
        <f>IF($B$22="Süd-Ausrichtung",AD22,AD27)-$AE48</f>
        <v>0</v>
      </c>
      <c r="AE62" s="33">
        <f t="shared" ref="AE62:AO62" si="14">IF($B$22="Süd-Ausrichtung",AE22,AE27)-$AE48</f>
        <v>0</v>
      </c>
      <c r="AF62" s="33">
        <f t="shared" si="14"/>
        <v>0</v>
      </c>
      <c r="AG62" s="33">
        <f t="shared" si="14"/>
        <v>0</v>
      </c>
      <c r="AH62" s="33">
        <f t="shared" si="14"/>
        <v>0</v>
      </c>
      <c r="AI62" s="33">
        <f t="shared" si="14"/>
        <v>0</v>
      </c>
      <c r="AJ62" s="33">
        <f t="shared" si="14"/>
        <v>0</v>
      </c>
      <c r="AK62" s="33">
        <f t="shared" si="14"/>
        <v>0</v>
      </c>
      <c r="AL62" s="33">
        <f t="shared" si="14"/>
        <v>0</v>
      </c>
      <c r="AM62" s="33">
        <f t="shared" si="14"/>
        <v>0</v>
      </c>
      <c r="AN62" s="33">
        <f t="shared" si="14"/>
        <v>0</v>
      </c>
      <c r="AO62" s="33">
        <f t="shared" si="14"/>
        <v>0</v>
      </c>
      <c r="AP62" s="33"/>
      <c r="AQ62" s="33"/>
    </row>
    <row r="63" spans="1:43" x14ac:dyDescent="0.25">
      <c r="A63" s="52" t="s">
        <v>214</v>
      </c>
      <c r="B63" s="8">
        <v>0</v>
      </c>
      <c r="C63" s="44" t="s">
        <v>16</v>
      </c>
      <c r="D63" s="77" t="s">
        <v>214</v>
      </c>
      <c r="E63" s="8">
        <v>0</v>
      </c>
      <c r="F63" s="44" t="s">
        <v>16</v>
      </c>
      <c r="J63" s="24" t="s">
        <v>335</v>
      </c>
      <c r="K63" s="24">
        <f>K59+K61</f>
        <v>0</v>
      </c>
      <c r="L63" s="24"/>
      <c r="M63" s="24" t="s">
        <v>271</v>
      </c>
      <c r="N63" s="24"/>
      <c r="O63" s="24"/>
      <c r="AB63" s="33" t="s">
        <v>269</v>
      </c>
      <c r="AC63" s="33"/>
      <c r="AD63" s="33">
        <f>SUMIF(AD59:AD62,"&gt;0")</f>
        <v>0</v>
      </c>
      <c r="AE63" s="33">
        <f t="shared" ref="AE63:AO63" si="15">SUMIF(AE59:AE62,"&gt;0")</f>
        <v>0</v>
      </c>
      <c r="AF63" s="33">
        <f t="shared" si="15"/>
        <v>0</v>
      </c>
      <c r="AG63" s="33">
        <f t="shared" si="15"/>
        <v>0</v>
      </c>
      <c r="AH63" s="33">
        <f t="shared" si="15"/>
        <v>0</v>
      </c>
      <c r="AI63" s="33">
        <f t="shared" si="15"/>
        <v>0</v>
      </c>
      <c r="AJ63" s="33">
        <f t="shared" si="15"/>
        <v>0</v>
      </c>
      <c r="AK63" s="33">
        <f t="shared" si="15"/>
        <v>0</v>
      </c>
      <c r="AL63" s="33">
        <f t="shared" si="15"/>
        <v>0</v>
      </c>
      <c r="AM63" s="33">
        <f t="shared" si="15"/>
        <v>0</v>
      </c>
      <c r="AN63" s="33">
        <f t="shared" si="15"/>
        <v>0</v>
      </c>
      <c r="AO63" s="33">
        <f t="shared" si="15"/>
        <v>0</v>
      </c>
      <c r="AP63" s="33"/>
      <c r="AQ63" s="33"/>
    </row>
    <row r="64" spans="1:43" ht="14.45" customHeight="1" x14ac:dyDescent="0.25">
      <c r="A64" s="81" t="s">
        <v>219</v>
      </c>
      <c r="B64" s="47">
        <f>K39</f>
        <v>0</v>
      </c>
      <c r="C64" s="59" t="s">
        <v>16</v>
      </c>
      <c r="D64" s="85" t="s">
        <v>227</v>
      </c>
      <c r="E64" s="134">
        <f>K44</f>
        <v>0</v>
      </c>
      <c r="F64" s="86" t="s">
        <v>16</v>
      </c>
      <c r="J64" s="24" t="s">
        <v>336</v>
      </c>
      <c r="K64" s="24">
        <f>K60+K62</f>
        <v>0</v>
      </c>
      <c r="L64" s="24"/>
      <c r="M64" s="24" t="s">
        <v>266</v>
      </c>
      <c r="N64" s="24"/>
      <c r="O64" s="24"/>
      <c r="AB64" s="33" t="s">
        <v>192</v>
      </c>
      <c r="AC64" s="33"/>
      <c r="AD64" s="33">
        <f>SUMIF(AD59:AD62,"&lt;0")</f>
        <v>0</v>
      </c>
      <c r="AE64" s="33">
        <f t="shared" ref="AE64:AO64" si="16">SUMIF(AE59:AE62,"&lt;0")</f>
        <v>0</v>
      </c>
      <c r="AF64" s="33">
        <f t="shared" si="16"/>
        <v>0</v>
      </c>
      <c r="AG64" s="33">
        <f t="shared" si="16"/>
        <v>0</v>
      </c>
      <c r="AH64" s="33">
        <f t="shared" si="16"/>
        <v>0</v>
      </c>
      <c r="AI64" s="33">
        <f t="shared" si="16"/>
        <v>0</v>
      </c>
      <c r="AJ64" s="33">
        <f t="shared" si="16"/>
        <v>0</v>
      </c>
      <c r="AK64" s="33">
        <f t="shared" si="16"/>
        <v>0</v>
      </c>
      <c r="AL64" s="33">
        <f t="shared" si="16"/>
        <v>0</v>
      </c>
      <c r="AM64" s="33">
        <f t="shared" si="16"/>
        <v>0</v>
      </c>
      <c r="AN64" s="33">
        <f t="shared" si="16"/>
        <v>0</v>
      </c>
      <c r="AO64" s="33">
        <f t="shared" si="16"/>
        <v>0</v>
      </c>
      <c r="AP64" s="33"/>
      <c r="AQ64" s="33"/>
    </row>
    <row r="65" spans="1:43" ht="51" x14ac:dyDescent="0.25">
      <c r="A65" s="82" t="s">
        <v>358</v>
      </c>
      <c r="B65" s="9"/>
      <c r="C65" s="84" t="s">
        <v>16</v>
      </c>
      <c r="D65" s="82" t="s">
        <v>358</v>
      </c>
      <c r="E65" s="9"/>
      <c r="F65" s="84" t="s">
        <v>16</v>
      </c>
      <c r="J65" s="24" t="s">
        <v>337</v>
      </c>
      <c r="K65" s="24">
        <f>(E35*0.01*E36)*B93*0.01*E93*E32+(E35*0.01*E36)*B94*0.01*E94*E34+(E35*0.01*E36)*B95*0.01*E95*E32+(E35*0.01*E36)*B96*0.01*E96*E34*255</f>
        <v>0</v>
      </c>
      <c r="L65" s="24"/>
      <c r="M65" s="24" t="s">
        <v>338</v>
      </c>
      <c r="N65" s="24"/>
      <c r="O65" s="24"/>
      <c r="AB65" s="33" t="s">
        <v>95</v>
      </c>
      <c r="AC65" s="33"/>
      <c r="AD65" s="33"/>
      <c r="AE65" s="33"/>
      <c r="AF65" s="33"/>
      <c r="AG65" s="33"/>
      <c r="AH65" s="33"/>
      <c r="AI65" s="33"/>
      <c r="AJ65" s="33"/>
      <c r="AK65" s="33"/>
      <c r="AL65" s="33"/>
      <c r="AM65" s="33"/>
      <c r="AN65" s="33"/>
      <c r="AO65" s="33"/>
      <c r="AP65" s="33"/>
      <c r="AQ65" s="33"/>
    </row>
    <row r="66" spans="1:43" ht="15.75" thickBot="1" x14ac:dyDescent="0.3">
      <c r="A66" s="23"/>
      <c r="B66" s="23"/>
      <c r="C66" s="23"/>
      <c r="D66" s="23"/>
      <c r="E66" s="23"/>
      <c r="F66" s="23"/>
      <c r="J66" s="45"/>
      <c r="K66" s="45"/>
      <c r="L66" s="45"/>
      <c r="M66" s="45"/>
      <c r="N66" s="45"/>
      <c r="O66" s="45"/>
      <c r="AB66" s="33" t="s">
        <v>98</v>
      </c>
      <c r="AC66" s="33"/>
      <c r="AD66" s="33">
        <f>IF(AD60&gt;0,AD60,0)</f>
        <v>0</v>
      </c>
      <c r="AE66" s="33">
        <f t="shared" ref="AE66:AO66" si="17">IF(AE60&gt;0,AE60,0)</f>
        <v>0</v>
      </c>
      <c r="AF66" s="33">
        <f t="shared" si="17"/>
        <v>0</v>
      </c>
      <c r="AG66" s="33">
        <f t="shared" si="17"/>
        <v>0</v>
      </c>
      <c r="AH66" s="33">
        <f t="shared" si="17"/>
        <v>0</v>
      </c>
      <c r="AI66" s="33">
        <f t="shared" si="17"/>
        <v>0</v>
      </c>
      <c r="AJ66" s="33">
        <f t="shared" si="17"/>
        <v>0</v>
      </c>
      <c r="AK66" s="33">
        <f t="shared" si="17"/>
        <v>0</v>
      </c>
      <c r="AL66" s="33">
        <f t="shared" si="17"/>
        <v>0</v>
      </c>
      <c r="AM66" s="33">
        <f t="shared" si="17"/>
        <v>0</v>
      </c>
      <c r="AN66" s="33">
        <f t="shared" si="17"/>
        <v>0</v>
      </c>
      <c r="AO66" s="33">
        <f t="shared" si="17"/>
        <v>0</v>
      </c>
      <c r="AP66" s="33"/>
      <c r="AQ66" s="33"/>
    </row>
    <row r="67" spans="1:43" x14ac:dyDescent="0.25">
      <c r="A67" s="154" t="s">
        <v>232</v>
      </c>
      <c r="B67" s="156"/>
      <c r="C67" s="156"/>
      <c r="D67" s="156"/>
      <c r="E67" s="156"/>
      <c r="F67" s="156"/>
      <c r="J67" s="141" t="s">
        <v>47</v>
      </c>
      <c r="K67" s="141"/>
      <c r="L67" s="141"/>
      <c r="M67" s="75"/>
      <c r="N67" s="45"/>
      <c r="O67" s="45"/>
      <c r="AB67" s="33" t="s">
        <v>99</v>
      </c>
      <c r="AC67" s="33"/>
      <c r="AD67" s="33">
        <f>IF($AE$53=0,0,IF(AD66&gt;$AE$53,$AE$53,AD60))</f>
        <v>0</v>
      </c>
      <c r="AE67" s="33">
        <f t="shared" ref="AE67:AO67" si="18">IF($AE$53=0,0,IF(AE66&gt;$AE$53,$AE$53,AE60))</f>
        <v>0</v>
      </c>
      <c r="AF67" s="33">
        <f t="shared" si="18"/>
        <v>0</v>
      </c>
      <c r="AG67" s="33">
        <f t="shared" si="18"/>
        <v>0</v>
      </c>
      <c r="AH67" s="33">
        <f t="shared" si="18"/>
        <v>0</v>
      </c>
      <c r="AI67" s="33">
        <f t="shared" si="18"/>
        <v>0</v>
      </c>
      <c r="AJ67" s="33">
        <f t="shared" si="18"/>
        <v>0</v>
      </c>
      <c r="AK67" s="33">
        <f t="shared" si="18"/>
        <v>0</v>
      </c>
      <c r="AL67" s="33">
        <f t="shared" si="18"/>
        <v>0</v>
      </c>
      <c r="AM67" s="33">
        <f t="shared" si="18"/>
        <v>0</v>
      </c>
      <c r="AN67" s="33">
        <f t="shared" si="18"/>
        <v>0</v>
      </c>
      <c r="AO67" s="33">
        <f t="shared" si="18"/>
        <v>0</v>
      </c>
      <c r="AP67" s="33"/>
      <c r="AQ67" s="33"/>
    </row>
    <row r="68" spans="1:43" x14ac:dyDescent="0.25">
      <c r="A68" s="87" t="s">
        <v>233</v>
      </c>
      <c r="B68" s="10">
        <v>2.2999999999999998</v>
      </c>
      <c r="C68" s="83" t="s">
        <v>9</v>
      </c>
      <c r="D68" s="83"/>
      <c r="E68" s="83"/>
      <c r="F68" s="83"/>
      <c r="G68" s="88"/>
      <c r="J68" s="89" t="s">
        <v>27</v>
      </c>
      <c r="K68" s="89" t="s">
        <v>28</v>
      </c>
      <c r="L68" s="45"/>
      <c r="M68" s="45" t="s">
        <v>133</v>
      </c>
      <c r="N68" s="45"/>
      <c r="O68" s="45"/>
      <c r="AB68" s="33" t="s">
        <v>100</v>
      </c>
      <c r="AC68" s="33"/>
      <c r="AD68" s="33">
        <f>IF(AD60&gt;$AE$53,AD66-$AE$53,0)</f>
        <v>0</v>
      </c>
      <c r="AE68" s="33">
        <f t="shared" ref="AE68:AO68" si="19">IF(AE60&gt;$AE$53,AE66-$AE$53,0)</f>
        <v>0</v>
      </c>
      <c r="AF68" s="33">
        <f>IF(AF60&gt;$AE$53,AF66-$AE$53,0)</f>
        <v>0</v>
      </c>
      <c r="AG68" s="33">
        <f t="shared" si="19"/>
        <v>0</v>
      </c>
      <c r="AH68" s="33">
        <f t="shared" si="19"/>
        <v>0</v>
      </c>
      <c r="AI68" s="33">
        <f t="shared" si="19"/>
        <v>0</v>
      </c>
      <c r="AJ68" s="33">
        <f t="shared" si="19"/>
        <v>0</v>
      </c>
      <c r="AK68" s="33">
        <f t="shared" si="19"/>
        <v>0</v>
      </c>
      <c r="AL68" s="33">
        <f t="shared" si="19"/>
        <v>0</v>
      </c>
      <c r="AM68" s="33">
        <f t="shared" si="19"/>
        <v>0</v>
      </c>
      <c r="AN68" s="33">
        <f t="shared" si="19"/>
        <v>0</v>
      </c>
      <c r="AO68" s="33">
        <f t="shared" si="19"/>
        <v>0</v>
      </c>
      <c r="AP68" s="33"/>
      <c r="AQ68" s="33"/>
    </row>
    <row r="69" spans="1:43" x14ac:dyDescent="0.25">
      <c r="A69" s="152" t="s">
        <v>242</v>
      </c>
      <c r="B69" s="152"/>
      <c r="C69" s="152"/>
      <c r="D69" s="152" t="s">
        <v>220</v>
      </c>
      <c r="E69" s="152"/>
      <c r="F69" s="152"/>
      <c r="J69" s="24" t="s">
        <v>339</v>
      </c>
      <c r="K69" s="24">
        <f>IF(B59=0,B58,B59)+IF(B65=0,B64,B65)</f>
        <v>0</v>
      </c>
      <c r="L69" s="24"/>
      <c r="M69" s="24"/>
      <c r="N69" s="24"/>
      <c r="O69" s="45"/>
      <c r="AB69" s="33" t="s">
        <v>101</v>
      </c>
      <c r="AC69" s="33"/>
      <c r="AD69" s="33">
        <f>IF(AD60&lt;0,AD60,0)</f>
        <v>0</v>
      </c>
      <c r="AE69" s="33">
        <f t="shared" ref="AE69:AO69" si="20">IF(AE60&lt;0,AE60,0)</f>
        <v>0</v>
      </c>
      <c r="AF69" s="33">
        <f t="shared" si="20"/>
        <v>0</v>
      </c>
      <c r="AG69" s="33">
        <f t="shared" si="20"/>
        <v>0</v>
      </c>
      <c r="AH69" s="33">
        <f t="shared" si="20"/>
        <v>0</v>
      </c>
      <c r="AI69" s="33">
        <f t="shared" si="20"/>
        <v>0</v>
      </c>
      <c r="AJ69" s="33">
        <f t="shared" si="20"/>
        <v>0</v>
      </c>
      <c r="AK69" s="33">
        <f t="shared" si="20"/>
        <v>0</v>
      </c>
      <c r="AL69" s="33">
        <f t="shared" si="20"/>
        <v>0</v>
      </c>
      <c r="AM69" s="33">
        <f t="shared" si="20"/>
        <v>0</v>
      </c>
      <c r="AN69" s="33">
        <f t="shared" si="20"/>
        <v>0</v>
      </c>
      <c r="AO69" s="33">
        <f t="shared" si="20"/>
        <v>0</v>
      </c>
      <c r="AP69" s="33"/>
      <c r="AQ69" s="33"/>
    </row>
    <row r="70" spans="1:43" ht="25.5" x14ac:dyDescent="0.25">
      <c r="A70" s="87" t="s">
        <v>228</v>
      </c>
      <c r="B70" s="9">
        <v>480.9</v>
      </c>
      <c r="C70" s="84" t="s">
        <v>16</v>
      </c>
      <c r="D70" s="87" t="s">
        <v>230</v>
      </c>
      <c r="E70" s="9">
        <v>250</v>
      </c>
      <c r="F70" s="84" t="s">
        <v>16</v>
      </c>
      <c r="J70" s="24" t="s">
        <v>340</v>
      </c>
      <c r="K70" s="24">
        <f>IF(E59=0,E58,E59)</f>
        <v>0</v>
      </c>
      <c r="L70" s="24"/>
      <c r="M70" s="24"/>
      <c r="N70" s="24"/>
      <c r="O70" s="45"/>
      <c r="AB70" s="33"/>
      <c r="AC70" s="33"/>
      <c r="AD70" s="33"/>
      <c r="AE70" s="33"/>
      <c r="AF70" s="33"/>
      <c r="AG70" s="33"/>
      <c r="AH70" s="33"/>
      <c r="AI70" s="33"/>
      <c r="AJ70" s="33"/>
      <c r="AK70" s="33"/>
      <c r="AL70" s="33"/>
      <c r="AM70" s="33"/>
      <c r="AN70" s="33"/>
      <c r="AO70" s="33"/>
      <c r="AP70" s="33"/>
      <c r="AQ70" s="33"/>
    </row>
    <row r="71" spans="1:43" ht="25.5" x14ac:dyDescent="0.25">
      <c r="A71" s="87" t="s">
        <v>231</v>
      </c>
      <c r="B71" s="9">
        <v>895</v>
      </c>
      <c r="C71" s="84" t="s">
        <v>16</v>
      </c>
      <c r="D71" s="87" t="s">
        <v>229</v>
      </c>
      <c r="E71" s="9">
        <v>750</v>
      </c>
      <c r="F71" s="84" t="s">
        <v>16</v>
      </c>
      <c r="J71" s="24" t="s">
        <v>341</v>
      </c>
      <c r="K71" s="24">
        <f>IF(E65=0,E64,E65)</f>
        <v>0</v>
      </c>
      <c r="L71" s="24"/>
      <c r="M71" s="24"/>
      <c r="N71" s="24"/>
      <c r="O71" s="45"/>
      <c r="AB71" s="33" t="s">
        <v>102</v>
      </c>
      <c r="AC71" s="33"/>
      <c r="AD71" s="33">
        <f>IF(AD61&gt;0,AD61,0)</f>
        <v>0</v>
      </c>
      <c r="AE71" s="33">
        <f t="shared" ref="AE71:AO71" si="21">IF(AE61&gt;0,AE61,0)</f>
        <v>0</v>
      </c>
      <c r="AF71" s="33">
        <f t="shared" si="21"/>
        <v>0</v>
      </c>
      <c r="AG71" s="33">
        <f t="shared" si="21"/>
        <v>0</v>
      </c>
      <c r="AH71" s="33">
        <f t="shared" si="21"/>
        <v>0</v>
      </c>
      <c r="AI71" s="33">
        <f t="shared" si="21"/>
        <v>0</v>
      </c>
      <c r="AJ71" s="33">
        <f t="shared" si="21"/>
        <v>0</v>
      </c>
      <c r="AK71" s="33">
        <f t="shared" si="21"/>
        <v>0</v>
      </c>
      <c r="AL71" s="33">
        <f t="shared" si="21"/>
        <v>0</v>
      </c>
      <c r="AM71" s="33">
        <f t="shared" si="21"/>
        <v>0</v>
      </c>
      <c r="AN71" s="33">
        <f t="shared" si="21"/>
        <v>0</v>
      </c>
      <c r="AO71" s="33">
        <f t="shared" si="21"/>
        <v>0</v>
      </c>
      <c r="AP71" s="33"/>
      <c r="AQ71" s="33"/>
    </row>
    <row r="72" spans="1:43" ht="15.75" thickBot="1" x14ac:dyDescent="0.3">
      <c r="A72" s="87" t="s">
        <v>239</v>
      </c>
      <c r="B72" s="9">
        <v>0</v>
      </c>
      <c r="C72" s="84" t="s">
        <v>16</v>
      </c>
      <c r="D72" s="87"/>
      <c r="E72" s="87"/>
      <c r="F72" s="84"/>
      <c r="K72" s="90" t="s">
        <v>286</v>
      </c>
      <c r="L72" s="90"/>
      <c r="M72" s="90"/>
      <c r="N72" s="90"/>
      <c r="AB72" s="33" t="s">
        <v>107</v>
      </c>
      <c r="AC72" s="33"/>
      <c r="AD72" s="33">
        <f>ABS(IF(AD61&lt;0,AD61,0))</f>
        <v>0</v>
      </c>
      <c r="AE72" s="33">
        <f t="shared" ref="AE72:AO72" si="22">ABS(IF(AE61&lt;0,AE61,0))</f>
        <v>0</v>
      </c>
      <c r="AF72" s="33">
        <f t="shared" si="22"/>
        <v>0</v>
      </c>
      <c r="AG72" s="33">
        <f t="shared" si="22"/>
        <v>0</v>
      </c>
      <c r="AH72" s="33">
        <f t="shared" si="22"/>
        <v>0</v>
      </c>
      <c r="AI72" s="33">
        <f t="shared" si="22"/>
        <v>0</v>
      </c>
      <c r="AJ72" s="33">
        <f t="shared" si="22"/>
        <v>0</v>
      </c>
      <c r="AK72" s="33">
        <f t="shared" si="22"/>
        <v>0</v>
      </c>
      <c r="AL72" s="33">
        <f t="shared" si="22"/>
        <v>0</v>
      </c>
      <c r="AM72" s="33">
        <f t="shared" si="22"/>
        <v>0</v>
      </c>
      <c r="AN72" s="33">
        <f t="shared" si="22"/>
        <v>0</v>
      </c>
      <c r="AO72" s="33">
        <f t="shared" si="22"/>
        <v>0</v>
      </c>
      <c r="AP72" s="33"/>
      <c r="AQ72" s="33"/>
    </row>
    <row r="73" spans="1:43" ht="25.5" x14ac:dyDescent="0.25">
      <c r="A73" s="81" t="s">
        <v>240</v>
      </c>
      <c r="B73" s="47">
        <f>K48</f>
        <v>895</v>
      </c>
      <c r="C73" s="59" t="s">
        <v>16</v>
      </c>
      <c r="D73" s="85" t="s">
        <v>241</v>
      </c>
      <c r="E73" s="134">
        <f>K49</f>
        <v>0</v>
      </c>
      <c r="F73" s="86" t="s">
        <v>16</v>
      </c>
      <c r="K73" s="91" t="s">
        <v>282</v>
      </c>
      <c r="L73" s="92"/>
      <c r="M73" s="92"/>
      <c r="N73" s="92"/>
      <c r="O73" s="92"/>
      <c r="P73" s="92"/>
      <c r="Q73" s="92"/>
      <c r="R73" s="92"/>
      <c r="S73" s="92"/>
      <c r="T73" s="93"/>
      <c r="AB73" s="33" t="s">
        <v>103</v>
      </c>
      <c r="AC73" s="33"/>
      <c r="AD73" s="33">
        <f t="shared" ref="AD73:AO73" si="23">IF(AND(AD67=0,AD71=0)=TRUE,0,IF(AD71&gt;0,IF(AD71+AD67&gt;$AE$53,$AE$53,AD71+AD67),IF(AD67-AD72&gt;0,AD67-AD72,0)))</f>
        <v>0</v>
      </c>
      <c r="AE73" s="33">
        <f t="shared" si="23"/>
        <v>0</v>
      </c>
      <c r="AF73" s="33">
        <f t="shared" si="23"/>
        <v>0</v>
      </c>
      <c r="AG73" s="33">
        <f t="shared" si="23"/>
        <v>0</v>
      </c>
      <c r="AH73" s="33">
        <f t="shared" si="23"/>
        <v>0</v>
      </c>
      <c r="AI73" s="33">
        <f t="shared" si="23"/>
        <v>0</v>
      </c>
      <c r="AJ73" s="33">
        <f t="shared" si="23"/>
        <v>0</v>
      </c>
      <c r="AK73" s="33">
        <f t="shared" si="23"/>
        <v>0</v>
      </c>
      <c r="AL73" s="33">
        <f t="shared" si="23"/>
        <v>0</v>
      </c>
      <c r="AM73" s="33">
        <f t="shared" si="23"/>
        <v>0</v>
      </c>
      <c r="AN73" s="33">
        <f t="shared" si="23"/>
        <v>0</v>
      </c>
      <c r="AO73" s="33">
        <f t="shared" si="23"/>
        <v>0</v>
      </c>
      <c r="AP73" s="33"/>
      <c r="AQ73" s="33"/>
    </row>
    <row r="74" spans="1:43" ht="14.45" customHeight="1" thickBot="1" x14ac:dyDescent="0.3">
      <c r="A74" s="23"/>
      <c r="B74" s="23"/>
      <c r="C74" s="23"/>
      <c r="D74" s="23"/>
      <c r="E74" s="23"/>
      <c r="F74" s="23"/>
      <c r="K74" s="94" t="s">
        <v>52</v>
      </c>
      <c r="L74" s="95" t="s">
        <v>283</v>
      </c>
      <c r="M74" s="95" t="s">
        <v>287</v>
      </c>
      <c r="N74" s="95" t="s">
        <v>290</v>
      </c>
      <c r="O74" s="95" t="s">
        <v>291</v>
      </c>
      <c r="P74" s="95" t="s">
        <v>292</v>
      </c>
      <c r="Q74" s="95" t="s">
        <v>62</v>
      </c>
      <c r="R74" s="95" t="s">
        <v>294</v>
      </c>
      <c r="S74" s="95" t="s">
        <v>296</v>
      </c>
      <c r="T74" s="96" t="s">
        <v>295</v>
      </c>
      <c r="AB74" s="33" t="s">
        <v>104</v>
      </c>
      <c r="AC74" s="33"/>
      <c r="AD74" s="33">
        <f t="shared" ref="AD74:AO74" si="24">IF(AD73=$AE$53,AD67+AD71-$AE$53,0)</f>
        <v>0</v>
      </c>
      <c r="AE74" s="33">
        <f t="shared" si="24"/>
        <v>0</v>
      </c>
      <c r="AF74" s="33">
        <f t="shared" si="24"/>
        <v>0</v>
      </c>
      <c r="AG74" s="33">
        <f t="shared" si="24"/>
        <v>0</v>
      </c>
      <c r="AH74" s="33">
        <f t="shared" si="24"/>
        <v>0</v>
      </c>
      <c r="AI74" s="33">
        <f t="shared" si="24"/>
        <v>0</v>
      </c>
      <c r="AJ74" s="33">
        <f t="shared" si="24"/>
        <v>0</v>
      </c>
      <c r="AK74" s="33">
        <f t="shared" si="24"/>
        <v>0</v>
      </c>
      <c r="AL74" s="33">
        <f t="shared" si="24"/>
        <v>0</v>
      </c>
      <c r="AM74" s="33">
        <f t="shared" si="24"/>
        <v>0</v>
      </c>
      <c r="AN74" s="33">
        <f t="shared" si="24"/>
        <v>0</v>
      </c>
      <c r="AO74" s="33">
        <f t="shared" si="24"/>
        <v>0</v>
      </c>
      <c r="AP74" s="33"/>
      <c r="AQ74" s="33"/>
    </row>
    <row r="75" spans="1:43" x14ac:dyDescent="0.25">
      <c r="A75" s="154" t="s">
        <v>234</v>
      </c>
      <c r="B75" s="154"/>
      <c r="C75" s="154"/>
      <c r="D75" s="154"/>
      <c r="E75" s="154"/>
      <c r="F75" s="154"/>
      <c r="K75" s="94">
        <v>0</v>
      </c>
      <c r="L75" s="95">
        <f>$B$73*(1+$B$68*0.01)^K75</f>
        <v>895</v>
      </c>
      <c r="M75" s="95">
        <f>$E$73*(1+$B$68*0.01)^K75</f>
        <v>0</v>
      </c>
      <c r="N75" s="95">
        <f>IF($D$29="Volleinspeisung",$B$85*(1+$B$68*0.01)^K75*(1-$E$23*0.01)^K75,$B$90*(1+$B$68*0.01)^K75*(1-$E$23*0.01)^K75)</f>
        <v>0</v>
      </c>
      <c r="O75" s="95">
        <f>$B$97*(1+$B$68*0.01)^K75</f>
        <v>0</v>
      </c>
      <c r="P75" s="95">
        <f>($B$90-$E$90)*(1+$B$68*0.01)^K75</f>
        <v>0</v>
      </c>
      <c r="Q75" s="95">
        <f>N75+O75-L75-M75</f>
        <v>-895</v>
      </c>
      <c r="R75" s="95">
        <f>Q75/(1+0.01*$B$102)^K75</f>
        <v>-895</v>
      </c>
      <c r="S75" s="95">
        <f>R75</f>
        <v>-895</v>
      </c>
      <c r="T75" s="97">
        <f>-$B$109+S75</f>
        <v>-895</v>
      </c>
      <c r="AB75" s="33" t="s">
        <v>105</v>
      </c>
      <c r="AC75" s="33"/>
      <c r="AD75" s="33">
        <f>IF(AD73=0,AD67-AD72,0)</f>
        <v>0</v>
      </c>
      <c r="AE75" s="33">
        <f t="shared" ref="AE75:AO75" si="25">IF(AE73=0,AE67-AE72,0)</f>
        <v>0</v>
      </c>
      <c r="AF75" s="33">
        <f t="shared" si="25"/>
        <v>0</v>
      </c>
      <c r="AG75" s="33">
        <f t="shared" si="25"/>
        <v>0</v>
      </c>
      <c r="AH75" s="33">
        <f t="shared" si="25"/>
        <v>0</v>
      </c>
      <c r="AI75" s="33">
        <f t="shared" si="25"/>
        <v>0</v>
      </c>
      <c r="AJ75" s="33">
        <f t="shared" si="25"/>
        <v>0</v>
      </c>
      <c r="AK75" s="33">
        <f t="shared" si="25"/>
        <v>0</v>
      </c>
      <c r="AL75" s="33">
        <f t="shared" si="25"/>
        <v>0</v>
      </c>
      <c r="AM75" s="33">
        <f t="shared" si="25"/>
        <v>0</v>
      </c>
      <c r="AN75" s="33">
        <f t="shared" si="25"/>
        <v>0</v>
      </c>
      <c r="AO75" s="33">
        <f t="shared" si="25"/>
        <v>0</v>
      </c>
      <c r="AP75" s="33"/>
      <c r="AQ75" s="33"/>
    </row>
    <row r="76" spans="1:43" x14ac:dyDescent="0.25">
      <c r="A76" s="152" t="s">
        <v>245</v>
      </c>
      <c r="B76" s="152"/>
      <c r="C76" s="152"/>
      <c r="D76" s="152"/>
      <c r="E76" s="152"/>
      <c r="F76" s="152"/>
      <c r="K76" s="94">
        <v>1</v>
      </c>
      <c r="L76" s="95">
        <f t="shared" ref="L76:L125" si="26">$B$73*(1+$B$68*0.01)^K76</f>
        <v>915.58499999999992</v>
      </c>
      <c r="M76" s="95">
        <f t="shared" ref="M76:M125" si="27">$E$73*(1+$B$68*0.01)^K76</f>
        <v>0</v>
      </c>
      <c r="N76" s="95">
        <f t="shared" ref="N76:N125" si="28">IF($D$29="Volleinspeisung",$B$85*(1+$B$68*0.01)^K76*(1-$E$23*0.01)^K76,$B$90*(1+$B$68*0.01)^K76*(1-$E$23*0.01)^K76)</f>
        <v>0</v>
      </c>
      <c r="O76" s="95">
        <f t="shared" ref="O76:O125" si="29">$B$97*(1+$B$68*0.01)^K76</f>
        <v>0</v>
      </c>
      <c r="P76" s="95">
        <f t="shared" ref="P76:P125" si="30">($B$90-$E$90)*(1+$B$68*0.01)^K76</f>
        <v>0</v>
      </c>
      <c r="Q76" s="95">
        <f t="shared" ref="Q76:Q125" si="31">N76+O76-L76-M76</f>
        <v>-915.58499999999992</v>
      </c>
      <c r="R76" s="95">
        <f t="shared" ref="R76:R125" si="32">Q76/(1+0.01*$B$102)^K76</f>
        <v>-893.25365853658536</v>
      </c>
      <c r="S76" s="95">
        <f>S75+R76</f>
        <v>-1788.2536585365854</v>
      </c>
      <c r="T76" s="97">
        <f t="shared" ref="T76:T125" si="33">-$B$109+S76</f>
        <v>-1788.2536585365854</v>
      </c>
      <c r="AB76" s="33"/>
      <c r="AC76" s="33"/>
      <c r="AD76" s="33"/>
      <c r="AE76" s="33"/>
      <c r="AF76" s="33"/>
      <c r="AG76" s="33"/>
      <c r="AH76" s="33"/>
      <c r="AI76" s="33"/>
      <c r="AJ76" s="33"/>
      <c r="AK76" s="33"/>
      <c r="AL76" s="33"/>
      <c r="AM76" s="33"/>
      <c r="AN76" s="33"/>
      <c r="AO76" s="33"/>
      <c r="AP76" s="33"/>
      <c r="AQ76" s="33"/>
    </row>
    <row r="77" spans="1:43" x14ac:dyDescent="0.25">
      <c r="A77" s="71" t="s">
        <v>249</v>
      </c>
      <c r="B77" s="157" t="str">
        <f>D29</f>
        <v>Eigenbedarf (inkl. E-Ladesäulen)+ Überschusseinspeisung</v>
      </c>
      <c r="C77" s="157"/>
      <c r="D77" s="157"/>
      <c r="E77" s="157"/>
      <c r="F77" s="157"/>
      <c r="K77" s="94">
        <v>2</v>
      </c>
      <c r="L77" s="95">
        <f t="shared" si="26"/>
        <v>936.64345499999979</v>
      </c>
      <c r="M77" s="95">
        <f t="shared" si="27"/>
        <v>0</v>
      </c>
      <c r="N77" s="95">
        <f t="shared" si="28"/>
        <v>0</v>
      </c>
      <c r="O77" s="95">
        <f t="shared" si="29"/>
        <v>0</v>
      </c>
      <c r="P77" s="95">
        <f t="shared" si="30"/>
        <v>0</v>
      </c>
      <c r="Q77" s="95">
        <f t="shared" si="31"/>
        <v>-936.64345499999979</v>
      </c>
      <c r="R77" s="95">
        <f t="shared" si="32"/>
        <v>-891.51072456870895</v>
      </c>
      <c r="S77" s="95">
        <f t="shared" ref="S77:S125" si="34">S76+R77</f>
        <v>-2679.7643831052942</v>
      </c>
      <c r="T77" s="97">
        <f t="shared" si="33"/>
        <v>-2679.7643831052942</v>
      </c>
      <c r="AB77" s="33" t="s">
        <v>108</v>
      </c>
      <c r="AC77" s="33"/>
      <c r="AD77" s="33">
        <f>ABS(AD62)</f>
        <v>0</v>
      </c>
      <c r="AE77" s="33">
        <f t="shared" ref="AE77:AO77" si="35">ABS(AE62)</f>
        <v>0</v>
      </c>
      <c r="AF77" s="33">
        <f t="shared" si="35"/>
        <v>0</v>
      </c>
      <c r="AG77" s="33">
        <f t="shared" si="35"/>
        <v>0</v>
      </c>
      <c r="AH77" s="33">
        <f t="shared" si="35"/>
        <v>0</v>
      </c>
      <c r="AI77" s="33">
        <f t="shared" si="35"/>
        <v>0</v>
      </c>
      <c r="AJ77" s="33">
        <f t="shared" si="35"/>
        <v>0</v>
      </c>
      <c r="AK77" s="33">
        <f t="shared" si="35"/>
        <v>0</v>
      </c>
      <c r="AL77" s="33">
        <f t="shared" si="35"/>
        <v>0</v>
      </c>
      <c r="AM77" s="33">
        <f t="shared" si="35"/>
        <v>0</v>
      </c>
      <c r="AN77" s="33">
        <f t="shared" si="35"/>
        <v>0</v>
      </c>
      <c r="AO77" s="33">
        <f t="shared" si="35"/>
        <v>0</v>
      </c>
      <c r="AP77" s="33"/>
      <c r="AQ77" s="33"/>
    </row>
    <row r="78" spans="1:43" x14ac:dyDescent="0.25">
      <c r="A78" s="71" t="s">
        <v>248</v>
      </c>
      <c r="B78" s="98" t="str">
        <f>K52</f>
        <v>&lt;100</v>
      </c>
      <c r="C78" s="64" t="s">
        <v>23</v>
      </c>
      <c r="D78" s="71"/>
      <c r="E78" s="98"/>
      <c r="F78" s="64"/>
      <c r="K78" s="94">
        <v>3</v>
      </c>
      <c r="L78" s="95">
        <f t="shared" si="26"/>
        <v>958.18625446499971</v>
      </c>
      <c r="M78" s="95">
        <f t="shared" si="27"/>
        <v>0</v>
      </c>
      <c r="N78" s="95">
        <f t="shared" si="28"/>
        <v>0</v>
      </c>
      <c r="O78" s="95">
        <f t="shared" si="29"/>
        <v>0</v>
      </c>
      <c r="P78" s="95">
        <f t="shared" si="30"/>
        <v>0</v>
      </c>
      <c r="Q78" s="95">
        <f t="shared" si="31"/>
        <v>-958.18625446499971</v>
      </c>
      <c r="R78" s="95">
        <f t="shared" si="32"/>
        <v>-889.77119144759922</v>
      </c>
      <c r="S78" s="95">
        <f t="shared" si="34"/>
        <v>-3569.5355745528932</v>
      </c>
      <c r="T78" s="97">
        <f t="shared" si="33"/>
        <v>-3569.5355745528932</v>
      </c>
      <c r="AB78" s="33" t="s">
        <v>106</v>
      </c>
      <c r="AC78" s="33"/>
      <c r="AD78" s="33">
        <f>IF(AD73-AD77&gt;0,AD73-AD77,0)</f>
        <v>0</v>
      </c>
      <c r="AE78" s="33">
        <f t="shared" ref="AE78:AO78" si="36">IF(AE73-AE77&gt;0,AE73-AE77,0)</f>
        <v>0</v>
      </c>
      <c r="AF78" s="33">
        <f t="shared" si="36"/>
        <v>0</v>
      </c>
      <c r="AG78" s="33">
        <f t="shared" si="36"/>
        <v>0</v>
      </c>
      <c r="AH78" s="33">
        <f t="shared" si="36"/>
        <v>0</v>
      </c>
      <c r="AI78" s="33">
        <f t="shared" si="36"/>
        <v>0</v>
      </c>
      <c r="AJ78" s="33">
        <f t="shared" si="36"/>
        <v>0</v>
      </c>
      <c r="AK78" s="33">
        <f t="shared" si="36"/>
        <v>0</v>
      </c>
      <c r="AL78" s="33">
        <f t="shared" si="36"/>
        <v>0</v>
      </c>
      <c r="AM78" s="33">
        <f t="shared" si="36"/>
        <v>0</v>
      </c>
      <c r="AN78" s="33">
        <f t="shared" si="36"/>
        <v>0</v>
      </c>
      <c r="AO78" s="33">
        <f t="shared" si="36"/>
        <v>0</v>
      </c>
      <c r="AP78" s="33"/>
      <c r="AQ78" s="33"/>
    </row>
    <row r="79" spans="1:43" x14ac:dyDescent="0.25">
      <c r="A79" s="87"/>
      <c r="B79" s="87"/>
      <c r="C79" s="87"/>
      <c r="D79" s="87"/>
      <c r="E79" s="87"/>
      <c r="F79" s="87"/>
      <c r="K79" s="94">
        <v>4</v>
      </c>
      <c r="L79" s="95">
        <f t="shared" si="26"/>
        <v>980.22453831769462</v>
      </c>
      <c r="M79" s="95">
        <f t="shared" si="27"/>
        <v>0</v>
      </c>
      <c r="N79" s="95">
        <f t="shared" si="28"/>
        <v>0</v>
      </c>
      <c r="O79" s="95">
        <f t="shared" si="29"/>
        <v>0</v>
      </c>
      <c r="P79" s="95">
        <f t="shared" si="30"/>
        <v>0</v>
      </c>
      <c r="Q79" s="95">
        <f t="shared" si="31"/>
        <v>-980.22453831769462</v>
      </c>
      <c r="R79" s="95">
        <f t="shared" si="32"/>
        <v>-888.03505253745766</v>
      </c>
      <c r="S79" s="95">
        <f t="shared" si="34"/>
        <v>-4457.5706270903511</v>
      </c>
      <c r="T79" s="97">
        <f t="shared" si="33"/>
        <v>-4457.5706270903511</v>
      </c>
      <c r="AB79" s="33" t="s">
        <v>360</v>
      </c>
      <c r="AC79" s="33"/>
      <c r="AD79" s="33">
        <f>IF(AD78=0,AD73-AD77,0)</f>
        <v>0</v>
      </c>
      <c r="AE79" s="33">
        <f t="shared" ref="AE79:AO79" si="37">IF(AE78=0,AE73-AE77,0)</f>
        <v>0</v>
      </c>
      <c r="AF79" s="33">
        <f t="shared" si="37"/>
        <v>0</v>
      </c>
      <c r="AG79" s="33">
        <f t="shared" si="37"/>
        <v>0</v>
      </c>
      <c r="AH79" s="33">
        <f t="shared" si="37"/>
        <v>0</v>
      </c>
      <c r="AI79" s="33">
        <f t="shared" si="37"/>
        <v>0</v>
      </c>
      <c r="AJ79" s="33">
        <f t="shared" si="37"/>
        <v>0</v>
      </c>
      <c r="AK79" s="33">
        <f t="shared" si="37"/>
        <v>0</v>
      </c>
      <c r="AL79" s="33">
        <f t="shared" si="37"/>
        <v>0</v>
      </c>
      <c r="AM79" s="33">
        <f t="shared" si="37"/>
        <v>0</v>
      </c>
      <c r="AN79" s="33">
        <f t="shared" si="37"/>
        <v>0</v>
      </c>
      <c r="AO79" s="33">
        <f t="shared" si="37"/>
        <v>0</v>
      </c>
      <c r="AP79" s="33"/>
      <c r="AQ79" s="33"/>
    </row>
    <row r="80" spans="1:43" ht="25.5" x14ac:dyDescent="0.25">
      <c r="A80" s="99" t="s">
        <v>253</v>
      </c>
      <c r="B80" s="100">
        <f>K53</f>
        <v>6.2568000000000001</v>
      </c>
      <c r="C80" s="99" t="s">
        <v>361</v>
      </c>
      <c r="D80" s="99" t="s">
        <v>250</v>
      </c>
      <c r="E80" s="100">
        <f>K54</f>
        <v>6.6528</v>
      </c>
      <c r="F80" s="99" t="s">
        <v>361</v>
      </c>
      <c r="K80" s="94">
        <v>5</v>
      </c>
      <c r="L80" s="95">
        <f t="shared" si="26"/>
        <v>1002.7697026990014</v>
      </c>
      <c r="M80" s="95">
        <f t="shared" si="27"/>
        <v>0</v>
      </c>
      <c r="N80" s="95">
        <f t="shared" si="28"/>
        <v>0</v>
      </c>
      <c r="O80" s="95">
        <f t="shared" si="29"/>
        <v>0</v>
      </c>
      <c r="P80" s="95">
        <f t="shared" si="30"/>
        <v>0</v>
      </c>
      <c r="Q80" s="95">
        <f t="shared" si="31"/>
        <v>-1002.7697026990014</v>
      </c>
      <c r="R80" s="95">
        <f t="shared" si="32"/>
        <v>-886.3023012154332</v>
      </c>
      <c r="S80" s="95">
        <f t="shared" si="34"/>
        <v>-5343.8729283057846</v>
      </c>
      <c r="T80" s="97">
        <f t="shared" si="33"/>
        <v>-5343.8729283057846</v>
      </c>
      <c r="AB80" s="33"/>
      <c r="AC80" s="33"/>
      <c r="AD80" s="33"/>
      <c r="AE80" s="33"/>
      <c r="AF80" s="33"/>
      <c r="AG80" s="33"/>
      <c r="AH80" s="33"/>
      <c r="AI80" s="33"/>
      <c r="AJ80" s="33"/>
      <c r="AK80" s="33"/>
      <c r="AL80" s="33"/>
      <c r="AM80" s="33"/>
      <c r="AN80" s="33"/>
      <c r="AO80" s="33"/>
      <c r="AP80" s="33"/>
      <c r="AQ80" s="33"/>
    </row>
    <row r="81" spans="1:43" ht="15.75" thickBot="1" x14ac:dyDescent="0.3">
      <c r="A81" s="143" t="s">
        <v>288</v>
      </c>
      <c r="B81" s="143"/>
      <c r="C81" s="143"/>
      <c r="D81" s="144" t="s">
        <v>374</v>
      </c>
      <c r="E81" s="144"/>
      <c r="F81" s="144"/>
      <c r="K81" s="94">
        <v>6</v>
      </c>
      <c r="L81" s="95">
        <f t="shared" si="26"/>
        <v>1025.8334058610785</v>
      </c>
      <c r="M81" s="95">
        <f t="shared" si="27"/>
        <v>0</v>
      </c>
      <c r="N81" s="95">
        <f t="shared" si="28"/>
        <v>0</v>
      </c>
      <c r="O81" s="95">
        <f t="shared" si="29"/>
        <v>0</v>
      </c>
      <c r="P81" s="95">
        <f t="shared" si="30"/>
        <v>0</v>
      </c>
      <c r="Q81" s="95">
        <f t="shared" si="31"/>
        <v>-1025.8334058610785</v>
      </c>
      <c r="R81" s="95">
        <f t="shared" si="32"/>
        <v>-884.57293087159837</v>
      </c>
      <c r="S81" s="95">
        <f t="shared" si="34"/>
        <v>-6228.4458591773828</v>
      </c>
      <c r="T81" s="97">
        <f t="shared" si="33"/>
        <v>-6228.4458591773828</v>
      </c>
      <c r="AB81" s="33" t="s">
        <v>109</v>
      </c>
      <c r="AC81" s="33"/>
      <c r="AD81" s="33">
        <f>IF(AD59&gt;0,AD59,0)</f>
        <v>0</v>
      </c>
      <c r="AE81" s="33">
        <f t="shared" ref="AE81:AO81" si="38">IF(AE59&gt;0,AE59,0)</f>
        <v>0</v>
      </c>
      <c r="AF81" s="33">
        <f t="shared" si="38"/>
        <v>0</v>
      </c>
      <c r="AG81" s="33">
        <f t="shared" si="38"/>
        <v>0</v>
      </c>
      <c r="AH81" s="33">
        <f t="shared" si="38"/>
        <v>0</v>
      </c>
      <c r="AI81" s="33">
        <f t="shared" si="38"/>
        <v>0</v>
      </c>
      <c r="AJ81" s="33">
        <f t="shared" si="38"/>
        <v>0</v>
      </c>
      <c r="AK81" s="33">
        <f t="shared" si="38"/>
        <v>0</v>
      </c>
      <c r="AL81" s="33">
        <f t="shared" si="38"/>
        <v>0</v>
      </c>
      <c r="AM81" s="33">
        <f t="shared" si="38"/>
        <v>0</v>
      </c>
      <c r="AN81" s="33">
        <f t="shared" si="38"/>
        <v>0</v>
      </c>
      <c r="AO81" s="33">
        <f t="shared" si="38"/>
        <v>0</v>
      </c>
      <c r="AP81" s="33"/>
      <c r="AQ81" s="33"/>
    </row>
    <row r="82" spans="1:43" ht="24.95" customHeight="1" thickBot="1" x14ac:dyDescent="0.3">
      <c r="A82" s="145" t="s">
        <v>255</v>
      </c>
      <c r="B82" s="146"/>
      <c r="C82" s="147" t="s">
        <v>376</v>
      </c>
      <c r="D82" s="147"/>
      <c r="E82" s="147"/>
      <c r="F82" s="148"/>
      <c r="K82" s="94">
        <v>7</v>
      </c>
      <c r="L82" s="95">
        <f t="shared" si="26"/>
        <v>1049.4275741958832</v>
      </c>
      <c r="M82" s="95">
        <f t="shared" si="27"/>
        <v>0</v>
      </c>
      <c r="N82" s="95">
        <f t="shared" si="28"/>
        <v>0</v>
      </c>
      <c r="O82" s="95">
        <f t="shared" si="29"/>
        <v>0</v>
      </c>
      <c r="P82" s="95">
        <f t="shared" si="30"/>
        <v>0</v>
      </c>
      <c r="Q82" s="95">
        <f t="shared" si="31"/>
        <v>-1049.4275741958832</v>
      </c>
      <c r="R82" s="95">
        <f t="shared" si="32"/>
        <v>-882.84693490892187</v>
      </c>
      <c r="S82" s="95">
        <f t="shared" si="34"/>
        <v>-7111.2927940863046</v>
      </c>
      <c r="T82" s="97">
        <f t="shared" si="33"/>
        <v>-7111.2927940863046</v>
      </c>
      <c r="AB82" s="33" t="s">
        <v>110</v>
      </c>
      <c r="AC82" s="33"/>
      <c r="AD82" s="33">
        <f>ABS(IF(AD59&lt;0,AD59,0))</f>
        <v>0</v>
      </c>
      <c r="AE82" s="33">
        <f t="shared" ref="AE82:AO82" si="39">ABS(IF(AE59&lt;0,AE59,0))</f>
        <v>0</v>
      </c>
      <c r="AF82" s="33">
        <f t="shared" si="39"/>
        <v>0</v>
      </c>
      <c r="AG82" s="33">
        <f t="shared" si="39"/>
        <v>0</v>
      </c>
      <c r="AH82" s="33">
        <f t="shared" si="39"/>
        <v>0</v>
      </c>
      <c r="AI82" s="33">
        <f t="shared" si="39"/>
        <v>0</v>
      </c>
      <c r="AJ82" s="33">
        <f t="shared" si="39"/>
        <v>0</v>
      </c>
      <c r="AK82" s="33">
        <f t="shared" si="39"/>
        <v>0</v>
      </c>
      <c r="AL82" s="33">
        <f t="shared" si="39"/>
        <v>0</v>
      </c>
      <c r="AM82" s="33">
        <f t="shared" si="39"/>
        <v>0</v>
      </c>
      <c r="AN82" s="33">
        <f t="shared" si="39"/>
        <v>0</v>
      </c>
      <c r="AO82" s="33">
        <f t="shared" si="39"/>
        <v>0</v>
      </c>
      <c r="AP82" s="33"/>
      <c r="AQ82" s="33"/>
    </row>
    <row r="83" spans="1:43" ht="38.25" x14ac:dyDescent="0.25">
      <c r="A83" s="101" t="s">
        <v>258</v>
      </c>
      <c r="B83" s="12"/>
      <c r="C83" s="101" t="s">
        <v>361</v>
      </c>
      <c r="D83" s="101" t="s">
        <v>256</v>
      </c>
      <c r="E83" s="12"/>
      <c r="F83" s="101" t="s">
        <v>361</v>
      </c>
      <c r="K83" s="94">
        <v>8</v>
      </c>
      <c r="L83" s="95">
        <f t="shared" si="26"/>
        <v>1073.5644084023884</v>
      </c>
      <c r="M83" s="95">
        <f t="shared" si="27"/>
        <v>0</v>
      </c>
      <c r="N83" s="95">
        <f t="shared" si="28"/>
        <v>0</v>
      </c>
      <c r="O83" s="95">
        <f t="shared" si="29"/>
        <v>0</v>
      </c>
      <c r="P83" s="95">
        <f t="shared" si="30"/>
        <v>0</v>
      </c>
      <c r="Q83" s="95">
        <f t="shared" si="31"/>
        <v>-1073.5644084023884</v>
      </c>
      <c r="R83" s="95">
        <f t="shared" si="32"/>
        <v>-881.12430674324594</v>
      </c>
      <c r="S83" s="95">
        <f t="shared" si="34"/>
        <v>-7992.4171008295507</v>
      </c>
      <c r="T83" s="97">
        <f t="shared" si="33"/>
        <v>-7992.4171008295507</v>
      </c>
      <c r="AB83" s="33" t="s">
        <v>111</v>
      </c>
      <c r="AC83" s="33"/>
      <c r="AD83" s="33">
        <f t="shared" ref="AD83:AO83" si="40">IF(AND(AD78=0,AD81=0)=TRUE,0,IF(AD81&gt;0,IF(AD81+AD78&gt;$AE$53,$AE$53,AD81+AD78),IF(AD78-AD82&gt;0,AD78-AD82,0)))</f>
        <v>0</v>
      </c>
      <c r="AE83" s="33">
        <f t="shared" si="40"/>
        <v>0</v>
      </c>
      <c r="AF83" s="33">
        <f t="shared" si="40"/>
        <v>0</v>
      </c>
      <c r="AG83" s="33">
        <f t="shared" si="40"/>
        <v>0</v>
      </c>
      <c r="AH83" s="33">
        <f t="shared" si="40"/>
        <v>0</v>
      </c>
      <c r="AI83" s="33">
        <f t="shared" si="40"/>
        <v>0</v>
      </c>
      <c r="AJ83" s="33">
        <f t="shared" si="40"/>
        <v>0</v>
      </c>
      <c r="AK83" s="33">
        <f t="shared" si="40"/>
        <v>0</v>
      </c>
      <c r="AL83" s="33">
        <f t="shared" si="40"/>
        <v>0</v>
      </c>
      <c r="AM83" s="33">
        <f t="shared" si="40"/>
        <v>0</v>
      </c>
      <c r="AN83" s="33">
        <f t="shared" si="40"/>
        <v>0</v>
      </c>
      <c r="AO83" s="33">
        <f t="shared" si="40"/>
        <v>0</v>
      </c>
      <c r="AP83" s="33"/>
      <c r="AQ83" s="33"/>
    </row>
    <row r="84" spans="1:43" x14ac:dyDescent="0.25">
      <c r="A84" s="101" t="s">
        <v>257</v>
      </c>
      <c r="B84" s="11">
        <v>59</v>
      </c>
      <c r="C84" s="101" t="s">
        <v>9</v>
      </c>
      <c r="D84" s="101"/>
      <c r="E84" s="101"/>
      <c r="F84" s="101"/>
      <c r="K84" s="94">
        <v>9</v>
      </c>
      <c r="L84" s="95">
        <f t="shared" si="26"/>
        <v>1098.2563897956431</v>
      </c>
      <c r="M84" s="95">
        <f t="shared" si="27"/>
        <v>0</v>
      </c>
      <c r="N84" s="95">
        <f t="shared" si="28"/>
        <v>0</v>
      </c>
      <c r="O84" s="95">
        <f t="shared" si="29"/>
        <v>0</v>
      </c>
      <c r="P84" s="95">
        <f t="shared" si="30"/>
        <v>0</v>
      </c>
      <c r="Q84" s="95">
        <f t="shared" si="31"/>
        <v>-1098.2563897956431</v>
      </c>
      <c r="R84" s="95">
        <f t="shared" si="32"/>
        <v>-879.40503980325911</v>
      </c>
      <c r="S84" s="95">
        <f t="shared" si="34"/>
        <v>-8871.8221406328103</v>
      </c>
      <c r="T84" s="97">
        <f t="shared" si="33"/>
        <v>-8871.8221406328103</v>
      </c>
      <c r="AB84" s="33" t="s">
        <v>112</v>
      </c>
      <c r="AC84" s="33"/>
      <c r="AD84" s="33">
        <f t="shared" ref="AD84:AO84" si="41">IF(AD83=$AE$53,AD78+AD81-$AE$53,0)</f>
        <v>0</v>
      </c>
      <c r="AE84" s="33">
        <f t="shared" si="41"/>
        <v>0</v>
      </c>
      <c r="AF84" s="33">
        <f t="shared" si="41"/>
        <v>0</v>
      </c>
      <c r="AG84" s="33">
        <f t="shared" si="41"/>
        <v>0</v>
      </c>
      <c r="AH84" s="33">
        <f t="shared" si="41"/>
        <v>0</v>
      </c>
      <c r="AI84" s="33">
        <f t="shared" si="41"/>
        <v>0</v>
      </c>
      <c r="AJ84" s="33">
        <f t="shared" si="41"/>
        <v>0</v>
      </c>
      <c r="AK84" s="33">
        <f t="shared" si="41"/>
        <v>0</v>
      </c>
      <c r="AL84" s="33">
        <f t="shared" si="41"/>
        <v>0</v>
      </c>
      <c r="AM84" s="33">
        <f t="shared" si="41"/>
        <v>0</v>
      </c>
      <c r="AN84" s="33">
        <f t="shared" si="41"/>
        <v>0</v>
      </c>
      <c r="AO84" s="33">
        <f t="shared" si="41"/>
        <v>0</v>
      </c>
      <c r="AP84" s="33"/>
      <c r="AQ84" s="33"/>
    </row>
    <row r="85" spans="1:43" ht="25.5" x14ac:dyDescent="0.25">
      <c r="A85" s="81" t="s">
        <v>260</v>
      </c>
      <c r="B85" s="47">
        <f>K58</f>
        <v>0</v>
      </c>
      <c r="C85" s="59" t="s">
        <v>16</v>
      </c>
      <c r="D85" s="45"/>
      <c r="E85" s="45"/>
      <c r="F85" s="45"/>
      <c r="K85" s="94">
        <v>10</v>
      </c>
      <c r="L85" s="95">
        <f t="shared" si="26"/>
        <v>1123.5162867609429</v>
      </c>
      <c r="M85" s="95">
        <f t="shared" si="27"/>
        <v>0</v>
      </c>
      <c r="N85" s="95">
        <f t="shared" si="28"/>
        <v>0</v>
      </c>
      <c r="O85" s="95">
        <f t="shared" si="29"/>
        <v>0</v>
      </c>
      <c r="P85" s="95">
        <f t="shared" si="30"/>
        <v>0</v>
      </c>
      <c r="Q85" s="95">
        <f t="shared" si="31"/>
        <v>-1123.5162867609429</v>
      </c>
      <c r="R85" s="95">
        <f t="shared" si="32"/>
        <v>-877.68912753047221</v>
      </c>
      <c r="S85" s="95">
        <f t="shared" si="34"/>
        <v>-9749.5112681632818</v>
      </c>
      <c r="T85" s="97">
        <f t="shared" si="33"/>
        <v>-9749.5112681632818</v>
      </c>
      <c r="AB85" s="33" t="s">
        <v>113</v>
      </c>
      <c r="AC85" s="33"/>
      <c r="AD85" s="33">
        <f>IF(AD83=0,AD78-AD82,0)</f>
        <v>0</v>
      </c>
      <c r="AE85" s="33">
        <f t="shared" ref="AE85:AO85" si="42">IF(AE83=0,AE78-AE82,0)</f>
        <v>0</v>
      </c>
      <c r="AF85" s="33">
        <f t="shared" si="42"/>
        <v>0</v>
      </c>
      <c r="AG85" s="33">
        <f t="shared" si="42"/>
        <v>0</v>
      </c>
      <c r="AH85" s="33">
        <f t="shared" si="42"/>
        <v>0</v>
      </c>
      <c r="AI85" s="33">
        <f t="shared" si="42"/>
        <v>0</v>
      </c>
      <c r="AJ85" s="33">
        <f t="shared" si="42"/>
        <v>0</v>
      </c>
      <c r="AK85" s="33">
        <f t="shared" si="42"/>
        <v>0</v>
      </c>
      <c r="AL85" s="33">
        <f t="shared" si="42"/>
        <v>0</v>
      </c>
      <c r="AM85" s="33">
        <f t="shared" si="42"/>
        <v>0</v>
      </c>
      <c r="AN85" s="33">
        <f t="shared" si="42"/>
        <v>0</v>
      </c>
      <c r="AO85" s="33">
        <f t="shared" si="42"/>
        <v>0</v>
      </c>
      <c r="AP85" s="33"/>
      <c r="AQ85" s="33"/>
    </row>
    <row r="86" spans="1:43" x14ac:dyDescent="0.25">
      <c r="A86" s="23"/>
      <c r="B86" s="23"/>
      <c r="C86" s="23"/>
      <c r="D86" s="23"/>
      <c r="E86" s="23"/>
      <c r="F86" s="23"/>
      <c r="K86" s="94">
        <v>11</v>
      </c>
      <c r="L86" s="95">
        <f t="shared" si="26"/>
        <v>1149.3571613564445</v>
      </c>
      <c r="M86" s="95">
        <f t="shared" si="27"/>
        <v>0</v>
      </c>
      <c r="N86" s="95">
        <f t="shared" si="28"/>
        <v>0</v>
      </c>
      <c r="O86" s="95">
        <f t="shared" si="29"/>
        <v>0</v>
      </c>
      <c r="P86" s="95">
        <f t="shared" si="30"/>
        <v>0</v>
      </c>
      <c r="Q86" s="95">
        <f t="shared" si="31"/>
        <v>-1149.3571613564445</v>
      </c>
      <c r="R86" s="95">
        <f t="shared" si="32"/>
        <v>-875.97656337919329</v>
      </c>
      <c r="S86" s="95">
        <f t="shared" si="34"/>
        <v>-10625.487831542476</v>
      </c>
      <c r="T86" s="97">
        <f t="shared" si="33"/>
        <v>-10625.487831542476</v>
      </c>
      <c r="AB86" s="33"/>
      <c r="AC86" s="33"/>
      <c r="AD86" s="33"/>
      <c r="AE86" s="33"/>
      <c r="AF86" s="33"/>
      <c r="AG86" s="33"/>
      <c r="AH86" s="33"/>
      <c r="AI86" s="33"/>
      <c r="AJ86" s="33"/>
      <c r="AK86" s="33"/>
      <c r="AL86" s="33"/>
      <c r="AM86" s="33"/>
      <c r="AN86" s="33"/>
      <c r="AO86" s="33"/>
      <c r="AP86" s="33"/>
      <c r="AQ86" s="33"/>
    </row>
    <row r="87" spans="1:43" x14ac:dyDescent="0.25">
      <c r="A87" s="143" t="s">
        <v>265</v>
      </c>
      <c r="B87" s="143"/>
      <c r="C87" s="143"/>
      <c r="D87" s="144" t="s">
        <v>354</v>
      </c>
      <c r="E87" s="144"/>
      <c r="F87" s="144"/>
      <c r="K87" s="94">
        <v>12</v>
      </c>
      <c r="L87" s="95">
        <f t="shared" si="26"/>
        <v>1175.7923760676426</v>
      </c>
      <c r="M87" s="95">
        <f t="shared" si="27"/>
        <v>0</v>
      </c>
      <c r="N87" s="95">
        <f t="shared" si="28"/>
        <v>0</v>
      </c>
      <c r="O87" s="95">
        <f t="shared" si="29"/>
        <v>0</v>
      </c>
      <c r="P87" s="95">
        <f t="shared" si="30"/>
        <v>0</v>
      </c>
      <c r="Q87" s="95">
        <f t="shared" si="31"/>
        <v>-1175.7923760676426</v>
      </c>
      <c r="R87" s="95">
        <f t="shared" si="32"/>
        <v>-874.26734081650216</v>
      </c>
      <c r="S87" s="95">
        <f t="shared" si="34"/>
        <v>-11499.755172358979</v>
      </c>
      <c r="T87" s="97">
        <f t="shared" si="33"/>
        <v>-11499.755172358979</v>
      </c>
      <c r="AB87" s="33" t="s">
        <v>114</v>
      </c>
      <c r="AC87" s="33"/>
      <c r="AD87" s="33"/>
      <c r="AE87" s="33"/>
      <c r="AF87" s="33"/>
      <c r="AG87" s="33"/>
      <c r="AH87" s="33"/>
      <c r="AI87" s="33"/>
      <c r="AJ87" s="33"/>
      <c r="AK87" s="33"/>
      <c r="AL87" s="33"/>
      <c r="AM87" s="33"/>
      <c r="AN87" s="33"/>
      <c r="AO87" s="33"/>
      <c r="AP87" s="33"/>
      <c r="AQ87" s="33"/>
    </row>
    <row r="88" spans="1:43" ht="25.5" x14ac:dyDescent="0.25">
      <c r="A88" s="81" t="s">
        <v>243</v>
      </c>
      <c r="B88" s="47">
        <f>K59</f>
        <v>0</v>
      </c>
      <c r="C88" s="59" t="s">
        <v>16</v>
      </c>
      <c r="D88" s="136" t="s">
        <v>266</v>
      </c>
      <c r="E88" s="47">
        <f>K60</f>
        <v>0</v>
      </c>
      <c r="F88" s="59" t="s">
        <v>16</v>
      </c>
      <c r="K88" s="94">
        <v>13</v>
      </c>
      <c r="L88" s="95">
        <f t="shared" si="26"/>
        <v>1202.8356007171983</v>
      </c>
      <c r="M88" s="95">
        <f t="shared" si="27"/>
        <v>0</v>
      </c>
      <c r="N88" s="95">
        <f t="shared" si="28"/>
        <v>0</v>
      </c>
      <c r="O88" s="95">
        <f t="shared" si="29"/>
        <v>0</v>
      </c>
      <c r="P88" s="95">
        <f t="shared" si="30"/>
        <v>0</v>
      </c>
      <c r="Q88" s="95">
        <f t="shared" si="31"/>
        <v>-1202.8356007171983</v>
      </c>
      <c r="R88" s="95">
        <f t="shared" si="32"/>
        <v>-872.56145332222604</v>
      </c>
      <c r="S88" s="95">
        <f t="shared" si="34"/>
        <v>-12372.316625681204</v>
      </c>
      <c r="T88" s="97">
        <f t="shared" si="33"/>
        <v>-12372.316625681204</v>
      </c>
      <c r="AB88" s="33" t="s">
        <v>115</v>
      </c>
      <c r="AC88" s="33"/>
      <c r="AD88" s="33">
        <f>IF($AE$53=0,0,IF(OR(AD83=$AE$53,AD78=$AE$53,AD73=$AE$53,AD67=$AE$53)=TRUE,"Ja","Nein"))</f>
        <v>0</v>
      </c>
      <c r="AE88" s="33">
        <f t="shared" ref="AE88:AO88" si="43">IF($AE$53=0,0,IF(OR(AE83=$AE$53,AE78=$AE$53,AE73=$AE$53,AE67=$AE$53)=TRUE,"Ja","Nein"))</f>
        <v>0</v>
      </c>
      <c r="AF88" s="33">
        <f t="shared" si="43"/>
        <v>0</v>
      </c>
      <c r="AG88" s="33">
        <f t="shared" si="43"/>
        <v>0</v>
      </c>
      <c r="AH88" s="33">
        <f t="shared" si="43"/>
        <v>0</v>
      </c>
      <c r="AI88" s="33">
        <f t="shared" si="43"/>
        <v>0</v>
      </c>
      <c r="AJ88" s="33">
        <f t="shared" si="43"/>
        <v>0</v>
      </c>
      <c r="AK88" s="33">
        <f t="shared" si="43"/>
        <v>0</v>
      </c>
      <c r="AL88" s="33">
        <f t="shared" si="43"/>
        <v>0</v>
      </c>
      <c r="AM88" s="33">
        <f t="shared" si="43"/>
        <v>0</v>
      </c>
      <c r="AN88" s="33">
        <f t="shared" si="43"/>
        <v>0</v>
      </c>
      <c r="AO88" s="33">
        <f t="shared" si="43"/>
        <v>0</v>
      </c>
      <c r="AP88" s="33"/>
      <c r="AQ88" s="33"/>
    </row>
    <row r="89" spans="1:43" ht="25.5" x14ac:dyDescent="0.25">
      <c r="A89" s="81" t="s">
        <v>244</v>
      </c>
      <c r="B89" s="47">
        <f>K61</f>
        <v>0</v>
      </c>
      <c r="C89" s="59" t="s">
        <v>16</v>
      </c>
      <c r="D89" s="102" t="s">
        <v>266</v>
      </c>
      <c r="E89" s="47">
        <f>K62</f>
        <v>0</v>
      </c>
      <c r="F89" s="59" t="s">
        <v>16</v>
      </c>
      <c r="K89" s="94">
        <v>14</v>
      </c>
      <c r="L89" s="95">
        <f t="shared" si="26"/>
        <v>1230.5008195336939</v>
      </c>
      <c r="M89" s="95">
        <f t="shared" si="27"/>
        <v>0</v>
      </c>
      <c r="N89" s="95">
        <f t="shared" si="28"/>
        <v>0</v>
      </c>
      <c r="O89" s="95">
        <f t="shared" si="29"/>
        <v>0</v>
      </c>
      <c r="P89" s="95">
        <f t="shared" si="30"/>
        <v>0</v>
      </c>
      <c r="Q89" s="95">
        <f t="shared" si="31"/>
        <v>-1230.5008195336939</v>
      </c>
      <c r="R89" s="95">
        <f t="shared" si="32"/>
        <v>-870.85889438891445</v>
      </c>
      <c r="S89" s="95">
        <f t="shared" si="34"/>
        <v>-13243.175520070119</v>
      </c>
      <c r="T89" s="97">
        <f t="shared" si="33"/>
        <v>-13243.175520070119</v>
      </c>
      <c r="AB89" s="33" t="s">
        <v>116</v>
      </c>
      <c r="AC89" s="33"/>
      <c r="AD89" s="33" t="str">
        <f>IF(OR(AD83&lt;0.15*$AE$48,AD78&lt;0.15*$AE$48,AD73&lt;0.15*$AE$48,AD67&lt;0.15*$AE$48)=TRUE,"Ja","Nein")</f>
        <v>Nein</v>
      </c>
      <c r="AE89" s="33" t="str">
        <f t="shared" ref="AE89:AO89" si="44">IF(OR(AE83&lt;0.15*$AE$48,AE78&lt;0.15*$AE$48,AE73&lt;0.15*$AE$48,AE67&lt;0.15*$AE$48)=TRUE,"Ja","Nein")</f>
        <v>Nein</v>
      </c>
      <c r="AF89" s="33" t="str">
        <f t="shared" si="44"/>
        <v>Nein</v>
      </c>
      <c r="AG89" s="33" t="str">
        <f t="shared" si="44"/>
        <v>Nein</v>
      </c>
      <c r="AH89" s="33" t="str">
        <f t="shared" si="44"/>
        <v>Nein</v>
      </c>
      <c r="AI89" s="33" t="str">
        <f t="shared" si="44"/>
        <v>Nein</v>
      </c>
      <c r="AJ89" s="33" t="str">
        <f t="shared" si="44"/>
        <v>Nein</v>
      </c>
      <c r="AK89" s="33" t="str">
        <f t="shared" si="44"/>
        <v>Nein</v>
      </c>
      <c r="AL89" s="33" t="str">
        <f t="shared" si="44"/>
        <v>Nein</v>
      </c>
      <c r="AM89" s="33" t="str">
        <f t="shared" si="44"/>
        <v>Nein</v>
      </c>
      <c r="AN89" s="33" t="str">
        <f t="shared" si="44"/>
        <v>Nein</v>
      </c>
      <c r="AO89" s="33" t="str">
        <f t="shared" si="44"/>
        <v>Nein</v>
      </c>
      <c r="AP89" s="33"/>
      <c r="AQ89" s="33"/>
    </row>
    <row r="90" spans="1:43" ht="25.5" x14ac:dyDescent="0.25">
      <c r="A90" s="81" t="s">
        <v>268</v>
      </c>
      <c r="B90" s="47">
        <f>K63</f>
        <v>0</v>
      </c>
      <c r="C90" s="59" t="s">
        <v>16</v>
      </c>
      <c r="D90" s="102" t="s">
        <v>266</v>
      </c>
      <c r="E90" s="47">
        <f>K64</f>
        <v>0</v>
      </c>
      <c r="F90" s="59" t="s">
        <v>16</v>
      </c>
      <c r="K90" s="94">
        <v>15</v>
      </c>
      <c r="L90" s="95">
        <f t="shared" si="26"/>
        <v>1258.8023383829684</v>
      </c>
      <c r="M90" s="95">
        <f t="shared" si="27"/>
        <v>0</v>
      </c>
      <c r="N90" s="95">
        <f t="shared" si="28"/>
        <v>0</v>
      </c>
      <c r="O90" s="95">
        <f t="shared" si="29"/>
        <v>0</v>
      </c>
      <c r="P90" s="95">
        <f t="shared" si="30"/>
        <v>0</v>
      </c>
      <c r="Q90" s="95">
        <f t="shared" si="31"/>
        <v>-1258.8023383829684</v>
      </c>
      <c r="R90" s="95">
        <f t="shared" si="32"/>
        <v>-869.15965752181364</v>
      </c>
      <c r="S90" s="95">
        <f t="shared" si="34"/>
        <v>-14112.335177591933</v>
      </c>
      <c r="T90" s="97">
        <f t="shared" si="33"/>
        <v>-14112.335177591933</v>
      </c>
      <c r="AB90" s="33" t="s">
        <v>117</v>
      </c>
      <c r="AC90" s="33"/>
      <c r="AD90" s="33">
        <f>SUM(AD84,AD74,AD68)</f>
        <v>0</v>
      </c>
      <c r="AE90" s="33">
        <f t="shared" ref="AE90:AO90" si="45">SUM(AE84,AE74,AE68)</f>
        <v>0</v>
      </c>
      <c r="AF90" s="33">
        <f t="shared" si="45"/>
        <v>0</v>
      </c>
      <c r="AG90" s="33">
        <f t="shared" si="45"/>
        <v>0</v>
      </c>
      <c r="AH90" s="33">
        <f t="shared" si="45"/>
        <v>0</v>
      </c>
      <c r="AI90" s="33">
        <f t="shared" si="45"/>
        <v>0</v>
      </c>
      <c r="AJ90" s="33">
        <f t="shared" si="45"/>
        <v>0</v>
      </c>
      <c r="AK90" s="33">
        <f t="shared" si="45"/>
        <v>0</v>
      </c>
      <c r="AL90" s="33">
        <f t="shared" si="45"/>
        <v>0</v>
      </c>
      <c r="AM90" s="33">
        <f t="shared" si="45"/>
        <v>0</v>
      </c>
      <c r="AN90" s="33">
        <f t="shared" si="45"/>
        <v>0</v>
      </c>
      <c r="AO90" s="33">
        <f t="shared" si="45"/>
        <v>0</v>
      </c>
      <c r="AP90" s="33"/>
      <c r="AQ90" s="33"/>
    </row>
    <row r="91" spans="1:43" x14ac:dyDescent="0.25">
      <c r="A91" s="23"/>
      <c r="B91" s="23"/>
      <c r="C91" s="23"/>
      <c r="D91" s="23"/>
      <c r="E91" s="23"/>
      <c r="F91" s="23"/>
      <c r="K91" s="94">
        <v>16</v>
      </c>
      <c r="L91" s="95">
        <f t="shared" si="26"/>
        <v>1287.7547921657765</v>
      </c>
      <c r="M91" s="95">
        <f t="shared" si="27"/>
        <v>0</v>
      </c>
      <c r="N91" s="95">
        <f t="shared" si="28"/>
        <v>0</v>
      </c>
      <c r="O91" s="95">
        <f t="shared" si="29"/>
        <v>0</v>
      </c>
      <c r="P91" s="95">
        <f t="shared" si="30"/>
        <v>0</v>
      </c>
      <c r="Q91" s="95">
        <f t="shared" si="31"/>
        <v>-1287.7547921657765</v>
      </c>
      <c r="R91" s="95">
        <f t="shared" si="32"/>
        <v>-867.46373623884426</v>
      </c>
      <c r="S91" s="95">
        <f t="shared" si="34"/>
        <v>-14979.798913830777</v>
      </c>
      <c r="T91" s="97">
        <f t="shared" si="33"/>
        <v>-14979.798913830777</v>
      </c>
      <c r="AB91" s="33" t="s">
        <v>118</v>
      </c>
      <c r="AC91" s="33"/>
      <c r="AD91" s="33">
        <f>SUM(AD85,AD79,AD75,AD69)</f>
        <v>0</v>
      </c>
      <c r="AE91" s="33">
        <f t="shared" ref="AE91:AO91" si="46">SUM(AE85,AE79,AE75,AE69)</f>
        <v>0</v>
      </c>
      <c r="AF91" s="33">
        <f t="shared" si="46"/>
        <v>0</v>
      </c>
      <c r="AG91" s="33">
        <f t="shared" si="46"/>
        <v>0</v>
      </c>
      <c r="AH91" s="33">
        <f t="shared" si="46"/>
        <v>0</v>
      </c>
      <c r="AI91" s="33">
        <f t="shared" si="46"/>
        <v>0</v>
      </c>
      <c r="AJ91" s="33">
        <f t="shared" si="46"/>
        <v>0</v>
      </c>
      <c r="AK91" s="33">
        <f t="shared" si="46"/>
        <v>0</v>
      </c>
      <c r="AL91" s="33">
        <f t="shared" si="46"/>
        <v>0</v>
      </c>
      <c r="AM91" s="33">
        <f t="shared" si="46"/>
        <v>0</v>
      </c>
      <c r="AN91" s="33">
        <f t="shared" si="46"/>
        <v>0</v>
      </c>
      <c r="AO91" s="33">
        <f t="shared" si="46"/>
        <v>0</v>
      </c>
      <c r="AP91" s="33"/>
      <c r="AQ91" s="33"/>
    </row>
    <row r="92" spans="1:43" x14ac:dyDescent="0.25">
      <c r="A92" s="153" t="s">
        <v>272</v>
      </c>
      <c r="B92" s="153"/>
      <c r="C92" s="153"/>
      <c r="D92" s="144" t="s">
        <v>354</v>
      </c>
      <c r="E92" s="144"/>
      <c r="F92" s="144"/>
      <c r="K92" s="94">
        <v>17</v>
      </c>
      <c r="L92" s="95">
        <f t="shared" si="26"/>
        <v>1317.3731523855893</v>
      </c>
      <c r="M92" s="95">
        <f t="shared" si="27"/>
        <v>0</v>
      </c>
      <c r="N92" s="95">
        <f t="shared" si="28"/>
        <v>0</v>
      </c>
      <c r="O92" s="95">
        <f t="shared" si="29"/>
        <v>0</v>
      </c>
      <c r="P92" s="95">
        <f t="shared" si="30"/>
        <v>0</v>
      </c>
      <c r="Q92" s="95">
        <f t="shared" si="31"/>
        <v>-1317.3731523855893</v>
      </c>
      <c r="R92" s="95">
        <f t="shared" si="32"/>
        <v>-865.77112407057336</v>
      </c>
      <c r="S92" s="95">
        <f t="shared" si="34"/>
        <v>-15845.570037901351</v>
      </c>
      <c r="T92" s="97">
        <f t="shared" si="33"/>
        <v>-15845.570037901351</v>
      </c>
      <c r="AB92" s="33" t="s">
        <v>119</v>
      </c>
      <c r="AC92" s="33"/>
      <c r="AD92" s="104" t="e">
        <f>($AE$44-ABS(AD91))/$AE$44</f>
        <v>#DIV/0!</v>
      </c>
      <c r="AE92" s="104" t="e">
        <f t="shared" ref="AE92:AO92" si="47">($AE$44-ABS(AE91))/$AE$44</f>
        <v>#DIV/0!</v>
      </c>
      <c r="AF92" s="104" t="e">
        <f t="shared" si="47"/>
        <v>#DIV/0!</v>
      </c>
      <c r="AG92" s="104" t="e">
        <f t="shared" si="47"/>
        <v>#DIV/0!</v>
      </c>
      <c r="AH92" s="104" t="e">
        <f t="shared" si="47"/>
        <v>#DIV/0!</v>
      </c>
      <c r="AI92" s="104" t="e">
        <f t="shared" si="47"/>
        <v>#DIV/0!</v>
      </c>
      <c r="AJ92" s="104" t="e">
        <f t="shared" si="47"/>
        <v>#DIV/0!</v>
      </c>
      <c r="AK92" s="104" t="e">
        <f t="shared" si="47"/>
        <v>#DIV/0!</v>
      </c>
      <c r="AL92" s="104" t="e">
        <f t="shared" si="47"/>
        <v>#DIV/0!</v>
      </c>
      <c r="AM92" s="104" t="e">
        <f t="shared" si="47"/>
        <v>#DIV/0!</v>
      </c>
      <c r="AN92" s="104" t="e">
        <f t="shared" si="47"/>
        <v>#DIV/0!</v>
      </c>
      <c r="AO92" s="104" t="e">
        <f t="shared" si="47"/>
        <v>#DIV/0!</v>
      </c>
      <c r="AP92" s="104"/>
      <c r="AQ92" s="104"/>
    </row>
    <row r="93" spans="1:43" ht="25.5" x14ac:dyDescent="0.25">
      <c r="A93" s="101" t="s">
        <v>275</v>
      </c>
      <c r="B93" s="12">
        <v>0</v>
      </c>
      <c r="C93" s="101" t="s">
        <v>30</v>
      </c>
      <c r="D93" s="101" t="s">
        <v>278</v>
      </c>
      <c r="E93" s="13">
        <v>8</v>
      </c>
      <c r="F93" s="101" t="s">
        <v>361</v>
      </c>
      <c r="K93" s="94">
        <v>18</v>
      </c>
      <c r="L93" s="95">
        <f t="shared" si="26"/>
        <v>1347.6727348904578</v>
      </c>
      <c r="M93" s="95">
        <f t="shared" si="27"/>
        <v>0</v>
      </c>
      <c r="N93" s="95">
        <f t="shared" si="28"/>
        <v>0</v>
      </c>
      <c r="O93" s="95">
        <f t="shared" si="29"/>
        <v>0</v>
      </c>
      <c r="P93" s="95">
        <f t="shared" si="30"/>
        <v>0</v>
      </c>
      <c r="Q93" s="95">
        <f t="shared" si="31"/>
        <v>-1347.6727348904578</v>
      </c>
      <c r="R93" s="95">
        <f t="shared" si="32"/>
        <v>-864.08181456019179</v>
      </c>
      <c r="S93" s="95">
        <f t="shared" si="34"/>
        <v>-16709.651852461542</v>
      </c>
      <c r="T93" s="97">
        <f t="shared" si="33"/>
        <v>-16709.651852461542</v>
      </c>
      <c r="AB93" s="33"/>
      <c r="AC93" s="33"/>
      <c r="AD93" s="33"/>
      <c r="AE93" s="33"/>
      <c r="AF93" s="33"/>
      <c r="AG93" s="33"/>
      <c r="AH93" s="33"/>
      <c r="AI93" s="33"/>
      <c r="AJ93" s="33"/>
      <c r="AK93" s="33"/>
      <c r="AL93" s="33"/>
      <c r="AM93" s="33"/>
      <c r="AN93" s="33"/>
      <c r="AO93" s="33"/>
      <c r="AP93" s="33"/>
      <c r="AQ93" s="33"/>
    </row>
    <row r="94" spans="1:43" ht="25.5" x14ac:dyDescent="0.25">
      <c r="A94" s="101" t="s">
        <v>273</v>
      </c>
      <c r="B94" s="12">
        <v>0</v>
      </c>
      <c r="C94" s="101" t="s">
        <v>30</v>
      </c>
      <c r="D94" s="101" t="s">
        <v>274</v>
      </c>
      <c r="E94" s="13">
        <v>8</v>
      </c>
      <c r="F94" s="101" t="s">
        <v>361</v>
      </c>
      <c r="K94" s="94">
        <v>19</v>
      </c>
      <c r="L94" s="95">
        <f t="shared" si="26"/>
        <v>1378.6692077929381</v>
      </c>
      <c r="M94" s="95">
        <f t="shared" si="27"/>
        <v>0</v>
      </c>
      <c r="N94" s="95">
        <f t="shared" si="28"/>
        <v>0</v>
      </c>
      <c r="O94" s="95">
        <f t="shared" si="29"/>
        <v>0</v>
      </c>
      <c r="P94" s="95">
        <f t="shared" si="30"/>
        <v>0</v>
      </c>
      <c r="Q94" s="95">
        <f t="shared" si="31"/>
        <v>-1378.6692077929381</v>
      </c>
      <c r="R94" s="95">
        <f t="shared" si="32"/>
        <v>-862.39580126348881</v>
      </c>
      <c r="S94" s="95">
        <f t="shared" si="34"/>
        <v>-17572.047653725032</v>
      </c>
      <c r="T94" s="97">
        <f t="shared" si="33"/>
        <v>-17572.047653725032</v>
      </c>
      <c r="AB94" s="33" t="s">
        <v>120</v>
      </c>
      <c r="AC94" s="33"/>
      <c r="AD94" s="33"/>
      <c r="AE94" s="33"/>
      <c r="AF94" s="33"/>
      <c r="AG94" s="33"/>
      <c r="AH94" s="33"/>
      <c r="AI94" s="33"/>
      <c r="AJ94" s="33"/>
      <c r="AK94" s="33"/>
      <c r="AL94" s="33"/>
      <c r="AM94" s="33"/>
      <c r="AN94" s="33"/>
      <c r="AO94" s="33"/>
      <c r="AP94" s="33"/>
      <c r="AQ94" s="33"/>
    </row>
    <row r="95" spans="1:43" ht="25.5" x14ac:dyDescent="0.25">
      <c r="A95" s="101" t="s">
        <v>276</v>
      </c>
      <c r="B95" s="12">
        <f>E31-B93</f>
        <v>0</v>
      </c>
      <c r="C95" s="101" t="s">
        <v>30</v>
      </c>
      <c r="D95" s="101" t="s">
        <v>278</v>
      </c>
      <c r="E95" s="13">
        <v>50</v>
      </c>
      <c r="F95" s="101" t="s">
        <v>361</v>
      </c>
      <c r="K95" s="94">
        <v>20</v>
      </c>
      <c r="L95" s="95">
        <f t="shared" si="26"/>
        <v>1410.3785995721755</v>
      </c>
      <c r="M95" s="95">
        <f t="shared" si="27"/>
        <v>0</v>
      </c>
      <c r="N95" s="95">
        <f t="shared" si="28"/>
        <v>0</v>
      </c>
      <c r="O95" s="95">
        <f t="shared" si="29"/>
        <v>0</v>
      </c>
      <c r="P95" s="95">
        <f t="shared" si="30"/>
        <v>0</v>
      </c>
      <c r="Q95" s="95">
        <f t="shared" si="31"/>
        <v>-1410.3785995721755</v>
      </c>
      <c r="R95" s="95">
        <f t="shared" si="32"/>
        <v>-860.71307774882837</v>
      </c>
      <c r="S95" s="95">
        <f t="shared" si="34"/>
        <v>-18432.76073147386</v>
      </c>
      <c r="T95" s="97">
        <f t="shared" si="33"/>
        <v>-18432.76073147386</v>
      </c>
      <c r="AB95" s="33" t="s">
        <v>121</v>
      </c>
      <c r="AC95" s="33"/>
      <c r="AD95" s="33">
        <f>(SUM(IF(AD88="Ja",AD$15,0),IF(AE88="Ja",AE$15,0),IF(AF88="Ja",AF$15,0),IF(AG88="Ja",AG$15,0),IF(AH88="Ja",AH$15,0),IF(AI88="Ja",AI$15,0),IF(AJ88="Ja",AJ$15,0),IF(AK88="Ja",AK$15,0),IF(AL88="Ja",AL$15,0),IF(AM88="Ja",AM$15,0),IF(AN88="Ja",AN$15,0),IF(AO88="Ja",AO$15,0)))</f>
        <v>0</v>
      </c>
      <c r="AE95" s="33"/>
      <c r="AF95" s="33"/>
      <c r="AG95" s="33"/>
      <c r="AH95" s="33"/>
      <c r="AI95" s="33"/>
      <c r="AJ95" s="33"/>
      <c r="AK95" s="33"/>
      <c r="AL95" s="33"/>
      <c r="AM95" s="33"/>
      <c r="AN95" s="33"/>
      <c r="AO95" s="33"/>
      <c r="AP95" s="33"/>
      <c r="AQ95" s="33"/>
    </row>
    <row r="96" spans="1:43" ht="25.5" x14ac:dyDescent="0.25">
      <c r="A96" s="101" t="s">
        <v>277</v>
      </c>
      <c r="B96" s="12">
        <f>E33-B94</f>
        <v>0</v>
      </c>
      <c r="C96" s="101" t="s">
        <v>30</v>
      </c>
      <c r="D96" s="101" t="s">
        <v>274</v>
      </c>
      <c r="E96" s="13">
        <v>50</v>
      </c>
      <c r="F96" s="101" t="s">
        <v>361</v>
      </c>
      <c r="K96" s="94">
        <v>21</v>
      </c>
      <c r="L96" s="95">
        <f t="shared" si="26"/>
        <v>1442.8173073623354</v>
      </c>
      <c r="M96" s="95">
        <f t="shared" si="27"/>
        <v>0</v>
      </c>
      <c r="N96" s="95">
        <f t="shared" si="28"/>
        <v>0</v>
      </c>
      <c r="O96" s="95">
        <f t="shared" si="29"/>
        <v>0</v>
      </c>
      <c r="P96" s="95">
        <f t="shared" si="30"/>
        <v>0</v>
      </c>
      <c r="Q96" s="95">
        <f t="shared" si="31"/>
        <v>-1442.8173073623354</v>
      </c>
      <c r="R96" s="95">
        <f t="shared" si="32"/>
        <v>-859.03363759712329</v>
      </c>
      <c r="S96" s="95">
        <f t="shared" si="34"/>
        <v>-19291.794369070984</v>
      </c>
      <c r="T96" s="97">
        <f t="shared" si="33"/>
        <v>-19291.794369070984</v>
      </c>
      <c r="AB96" s="33" t="s">
        <v>122</v>
      </c>
      <c r="AC96" s="33"/>
      <c r="AD96" s="33">
        <f>SUM(IF(AD89="Ja",AD$15,0),IF(AE89="Ja",AE$15,0),IF(AF89="Ja",AF$15,0),IF(AG89="Ja",AG$15,0),IF(AH89="Ja",AH$15,0),IF(AI89="Ja",AI$15,0),IF(AJ89="Ja",AJ$15,0),IF(AK89="Ja",AK$15,0),IF(AL89="Ja",AL$15,0),IF(AM89="Ja",AM$15,0),IF(AN89="Ja",AN$15,0),IF(AO89="Ja",AO$15,0))</f>
        <v>0</v>
      </c>
      <c r="AE96" s="33"/>
      <c r="AF96" s="33"/>
      <c r="AG96" s="33"/>
      <c r="AH96" s="33"/>
      <c r="AI96" s="33"/>
      <c r="AJ96" s="33"/>
      <c r="AK96" s="33"/>
      <c r="AL96" s="33"/>
      <c r="AM96" s="33"/>
      <c r="AN96" s="33"/>
      <c r="AO96" s="33"/>
      <c r="AP96" s="33"/>
      <c r="AQ96" s="33"/>
    </row>
    <row r="97" spans="1:43" ht="25.5" x14ac:dyDescent="0.25">
      <c r="A97" s="81" t="s">
        <v>279</v>
      </c>
      <c r="B97" s="47">
        <f>K65</f>
        <v>0</v>
      </c>
      <c r="C97" s="59" t="s">
        <v>16</v>
      </c>
      <c r="D97" s="45"/>
      <c r="E97" s="45"/>
      <c r="F97" s="45"/>
      <c r="K97" s="94">
        <v>22</v>
      </c>
      <c r="L97" s="95">
        <f t="shared" si="26"/>
        <v>1476.0021054316692</v>
      </c>
      <c r="M97" s="95">
        <f t="shared" si="27"/>
        <v>0</v>
      </c>
      <c r="N97" s="95">
        <f t="shared" si="28"/>
        <v>0</v>
      </c>
      <c r="O97" s="95">
        <f t="shared" si="29"/>
        <v>0</v>
      </c>
      <c r="P97" s="95">
        <f t="shared" si="30"/>
        <v>0</v>
      </c>
      <c r="Q97" s="95">
        <f t="shared" si="31"/>
        <v>-1476.0021054316692</v>
      </c>
      <c r="R97" s="95">
        <f t="shared" si="32"/>
        <v>-857.35747440181194</v>
      </c>
      <c r="S97" s="95">
        <f t="shared" si="34"/>
        <v>-20149.151843472795</v>
      </c>
      <c r="T97" s="97">
        <f t="shared" si="33"/>
        <v>-20149.151843472795</v>
      </c>
      <c r="AB97" s="33" t="s">
        <v>123</v>
      </c>
      <c r="AC97" s="33"/>
      <c r="AD97" s="33">
        <f>SUM(AD90*AD$15,AE90*AE$15,AF90*AF$15,AG90*AG$15,AH90*AH$15,AI90*AI$15,AJ90*AJ$15,AK90*AK$15,AL90*AL$15,AM90*AM$15,AN90*AN$15,AO90*AO$15)</f>
        <v>0</v>
      </c>
      <c r="AE97" s="33"/>
      <c r="AF97" s="33"/>
      <c r="AG97" s="33"/>
      <c r="AH97" s="33"/>
      <c r="AI97" s="33"/>
      <c r="AJ97" s="33"/>
      <c r="AK97" s="33"/>
      <c r="AL97" s="33"/>
      <c r="AM97" s="33"/>
      <c r="AN97" s="33"/>
      <c r="AO97" s="33"/>
      <c r="AP97" s="33"/>
      <c r="AQ97" s="33"/>
    </row>
    <row r="98" spans="1:43" x14ac:dyDescent="0.25">
      <c r="A98" s="23"/>
      <c r="B98" s="23"/>
      <c r="C98" s="23"/>
      <c r="D98" s="23"/>
      <c r="E98" s="23"/>
      <c r="F98" s="23"/>
      <c r="K98" s="94">
        <v>23</v>
      </c>
      <c r="L98" s="95">
        <f t="shared" si="26"/>
        <v>1509.9501538565971</v>
      </c>
      <c r="M98" s="95">
        <f t="shared" si="27"/>
        <v>0</v>
      </c>
      <c r="N98" s="95">
        <f t="shared" si="28"/>
        <v>0</v>
      </c>
      <c r="O98" s="95">
        <f t="shared" si="29"/>
        <v>0</v>
      </c>
      <c r="P98" s="95">
        <f t="shared" si="30"/>
        <v>0</v>
      </c>
      <c r="Q98" s="95">
        <f t="shared" si="31"/>
        <v>-1509.9501538565971</v>
      </c>
      <c r="R98" s="95">
        <f t="shared" si="32"/>
        <v>-855.68458176883246</v>
      </c>
      <c r="S98" s="95">
        <f t="shared" si="34"/>
        <v>-21004.836425241629</v>
      </c>
      <c r="T98" s="97">
        <f t="shared" si="33"/>
        <v>-21004.836425241629</v>
      </c>
      <c r="AB98" s="33" t="s">
        <v>124</v>
      </c>
      <c r="AC98" s="33"/>
      <c r="AD98" s="33">
        <f>ABS(SUM(AD91*AD$15,AE91*AE$15,AF91*AF$15,AG91*AG$15,AH91*AH$15,AI91*AI$15,AJ91*AJ$15,AK91*AK$15,AL91*AL$15,AM91*AM$15,AN91*AN$15,AO91*AO$15))</f>
        <v>0</v>
      </c>
      <c r="AE98" s="33"/>
      <c r="AF98" s="33"/>
      <c r="AG98" s="33"/>
      <c r="AH98" s="33"/>
      <c r="AI98" s="33"/>
      <c r="AJ98" s="33"/>
      <c r="AK98" s="33"/>
      <c r="AL98" s="33"/>
      <c r="AM98" s="33"/>
      <c r="AN98" s="33"/>
      <c r="AO98" s="33"/>
      <c r="AP98" s="33"/>
      <c r="AQ98" s="33"/>
    </row>
    <row r="99" spans="1:43" ht="25.5" x14ac:dyDescent="0.25">
      <c r="A99" s="101" t="s">
        <v>280</v>
      </c>
      <c r="B99" s="137"/>
      <c r="C99" s="44" t="s">
        <v>16</v>
      </c>
      <c r="D99" s="140" t="s">
        <v>281</v>
      </c>
      <c r="E99" s="140"/>
      <c r="F99" s="140"/>
      <c r="K99" s="94">
        <v>24</v>
      </c>
      <c r="L99" s="95">
        <f t="shared" si="26"/>
        <v>1544.6790073952989</v>
      </c>
      <c r="M99" s="95">
        <f t="shared" si="27"/>
        <v>0</v>
      </c>
      <c r="N99" s="95">
        <f t="shared" si="28"/>
        <v>0</v>
      </c>
      <c r="O99" s="95">
        <f t="shared" si="29"/>
        <v>0</v>
      </c>
      <c r="P99" s="95">
        <f t="shared" si="30"/>
        <v>0</v>
      </c>
      <c r="Q99" s="95">
        <f t="shared" si="31"/>
        <v>-1544.6790073952989</v>
      </c>
      <c r="R99" s="95">
        <f t="shared" si="32"/>
        <v>-854.01495331660067</v>
      </c>
      <c r="S99" s="95">
        <f t="shared" si="34"/>
        <v>-21858.851378558229</v>
      </c>
      <c r="T99" s="97">
        <f t="shared" si="33"/>
        <v>-21858.851378558229</v>
      </c>
      <c r="AB99" s="33" t="s">
        <v>125</v>
      </c>
      <c r="AC99" s="33"/>
      <c r="AD99" s="33">
        <f>AE31+AE38-AD98</f>
        <v>0</v>
      </c>
      <c r="AE99" s="33"/>
      <c r="AF99" s="33"/>
      <c r="AG99" s="33"/>
      <c r="AH99" s="33"/>
      <c r="AI99" s="33"/>
      <c r="AJ99" s="33"/>
      <c r="AK99" s="33"/>
      <c r="AL99" s="33"/>
      <c r="AM99" s="33"/>
      <c r="AN99" s="33"/>
      <c r="AO99" s="33"/>
      <c r="AP99" s="33"/>
      <c r="AQ99" s="33"/>
    </row>
    <row r="100" spans="1:43" ht="15.75" thickBot="1" x14ac:dyDescent="0.3">
      <c r="A100" s="23"/>
      <c r="B100" s="23"/>
      <c r="C100" s="23"/>
      <c r="D100" s="23"/>
      <c r="E100" s="23"/>
      <c r="F100" s="23"/>
      <c r="K100" s="94">
        <v>25</v>
      </c>
      <c r="L100" s="95">
        <f t="shared" si="26"/>
        <v>1580.2066245653905</v>
      </c>
      <c r="M100" s="95">
        <f t="shared" si="27"/>
        <v>0</v>
      </c>
      <c r="N100" s="95">
        <f t="shared" si="28"/>
        <v>0</v>
      </c>
      <c r="O100" s="95">
        <f t="shared" si="29"/>
        <v>0</v>
      </c>
      <c r="P100" s="95">
        <f t="shared" si="30"/>
        <v>0</v>
      </c>
      <c r="Q100" s="95">
        <f t="shared" si="31"/>
        <v>-1580.2066245653905</v>
      </c>
      <c r="R100" s="95">
        <f t="shared" si="32"/>
        <v>-852.34858267598293</v>
      </c>
      <c r="S100" s="95">
        <f t="shared" si="34"/>
        <v>-22711.199961234212</v>
      </c>
      <c r="T100" s="97">
        <f t="shared" si="33"/>
        <v>-22711.199961234212</v>
      </c>
      <c r="AB100" s="33" t="s">
        <v>190</v>
      </c>
      <c r="AC100" s="33"/>
      <c r="AD100" s="104" t="e">
        <f>AD99/(AE31+AE38)</f>
        <v>#DIV/0!</v>
      </c>
      <c r="AE100" s="33"/>
      <c r="AF100" s="33"/>
      <c r="AG100" s="33"/>
      <c r="AH100" s="33"/>
      <c r="AI100" s="33"/>
      <c r="AJ100" s="33"/>
      <c r="AK100" s="33"/>
      <c r="AL100" s="33"/>
      <c r="AM100" s="33"/>
      <c r="AN100" s="33"/>
      <c r="AO100" s="33"/>
      <c r="AP100" s="33"/>
      <c r="AQ100" s="33"/>
    </row>
    <row r="101" spans="1:43" ht="15.75" thickBot="1" x14ac:dyDescent="0.3">
      <c r="A101" s="149" t="s">
        <v>47</v>
      </c>
      <c r="B101" s="150"/>
      <c r="C101" s="150"/>
      <c r="D101" s="150"/>
      <c r="E101" s="150"/>
      <c r="F101" s="151"/>
      <c r="K101" s="94">
        <v>26</v>
      </c>
      <c r="L101" s="95">
        <f t="shared" si="26"/>
        <v>1616.5513769303943</v>
      </c>
      <c r="M101" s="95">
        <f t="shared" si="27"/>
        <v>0</v>
      </c>
      <c r="N101" s="95">
        <f t="shared" si="28"/>
        <v>0</v>
      </c>
      <c r="O101" s="95">
        <f t="shared" si="29"/>
        <v>0</v>
      </c>
      <c r="P101" s="95">
        <f t="shared" si="30"/>
        <v>0</v>
      </c>
      <c r="Q101" s="95">
        <f t="shared" si="31"/>
        <v>-1616.5513769303943</v>
      </c>
      <c r="R101" s="95">
        <f t="shared" si="32"/>
        <v>-850.68546349027361</v>
      </c>
      <c r="S101" s="95">
        <f t="shared" si="34"/>
        <v>-23561.885424724485</v>
      </c>
      <c r="T101" s="97">
        <f t="shared" si="33"/>
        <v>-23561.885424724485</v>
      </c>
      <c r="AB101" s="33" t="s">
        <v>191</v>
      </c>
      <c r="AC101" s="33"/>
      <c r="AD101" s="104" t="e">
        <f>AD108/(AE31+AE38)</f>
        <v>#DIV/0!</v>
      </c>
      <c r="AE101" s="33"/>
      <c r="AF101" s="33"/>
      <c r="AG101" s="33"/>
      <c r="AH101" s="33"/>
      <c r="AI101" s="33"/>
      <c r="AJ101" s="33"/>
      <c r="AK101" s="33"/>
      <c r="AL101" s="33"/>
      <c r="AM101" s="33"/>
      <c r="AN101" s="33"/>
      <c r="AO101" s="33"/>
      <c r="AP101" s="33"/>
      <c r="AQ101" s="33"/>
    </row>
    <row r="102" spans="1:43" x14ac:dyDescent="0.25">
      <c r="A102" s="103" t="s">
        <v>44</v>
      </c>
      <c r="B102" s="14">
        <v>2.5</v>
      </c>
      <c r="C102" s="103" t="s">
        <v>9</v>
      </c>
      <c r="D102" s="103" t="s">
        <v>293</v>
      </c>
      <c r="E102" s="15">
        <v>25</v>
      </c>
      <c r="F102" s="76" t="s">
        <v>48</v>
      </c>
      <c r="K102" s="94">
        <v>27</v>
      </c>
      <c r="L102" s="95">
        <f t="shared" si="26"/>
        <v>1653.7320585997934</v>
      </c>
      <c r="M102" s="95">
        <f t="shared" si="27"/>
        <v>0</v>
      </c>
      <c r="N102" s="95">
        <f t="shared" si="28"/>
        <v>0</v>
      </c>
      <c r="O102" s="95">
        <f t="shared" si="29"/>
        <v>0</v>
      </c>
      <c r="P102" s="95">
        <f t="shared" si="30"/>
        <v>0</v>
      </c>
      <c r="Q102" s="95">
        <f t="shared" si="31"/>
        <v>-1653.7320585997934</v>
      </c>
      <c r="R102" s="95">
        <f t="shared" si="32"/>
        <v>-849.02558941517066</v>
      </c>
      <c r="S102" s="95">
        <f t="shared" si="34"/>
        <v>-24410.911014139656</v>
      </c>
      <c r="T102" s="97">
        <f t="shared" si="33"/>
        <v>-24410.911014139656</v>
      </c>
      <c r="AB102" s="33" t="s">
        <v>126</v>
      </c>
      <c r="AC102" s="33"/>
      <c r="AD102" s="33"/>
      <c r="AE102" s="33"/>
      <c r="AF102" s="33"/>
      <c r="AG102" s="33"/>
      <c r="AH102" s="33"/>
      <c r="AI102" s="33"/>
      <c r="AJ102" s="33"/>
      <c r="AK102" s="33"/>
      <c r="AL102" s="33"/>
      <c r="AM102" s="33"/>
      <c r="AN102" s="33"/>
      <c r="AO102" s="33"/>
      <c r="AP102" s="33"/>
      <c r="AQ102" s="33"/>
    </row>
    <row r="103" spans="1:43" x14ac:dyDescent="0.25">
      <c r="A103" s="46" t="s">
        <v>31</v>
      </c>
      <c r="B103" s="47" t="e">
        <f>K134</f>
        <v>#N/A</v>
      </c>
      <c r="C103" s="46" t="s">
        <v>48</v>
      </c>
      <c r="D103" s="46" t="s">
        <v>353</v>
      </c>
      <c r="E103" s="47">
        <f ca="1">K133</f>
        <v>-22711.199961234212</v>
      </c>
      <c r="F103" s="46" t="s">
        <v>16</v>
      </c>
      <c r="K103" s="94">
        <v>28</v>
      </c>
      <c r="L103" s="95">
        <f t="shared" si="26"/>
        <v>1691.7678959475884</v>
      </c>
      <c r="M103" s="95">
        <f t="shared" si="27"/>
        <v>0</v>
      </c>
      <c r="N103" s="95">
        <f t="shared" si="28"/>
        <v>0</v>
      </c>
      <c r="O103" s="95">
        <f t="shared" si="29"/>
        <v>0</v>
      </c>
      <c r="P103" s="95">
        <f t="shared" si="30"/>
        <v>0</v>
      </c>
      <c r="Q103" s="95">
        <f t="shared" si="31"/>
        <v>-1691.7678959475884</v>
      </c>
      <c r="R103" s="95">
        <f t="shared" si="32"/>
        <v>-847.36895411875082</v>
      </c>
      <c r="S103" s="95">
        <f t="shared" si="34"/>
        <v>-25258.279968258408</v>
      </c>
      <c r="T103" s="97">
        <f t="shared" si="33"/>
        <v>-25258.279968258408</v>
      </c>
      <c r="AB103" s="33" t="s">
        <v>127</v>
      </c>
      <c r="AC103" s="33"/>
      <c r="AD103" s="33"/>
      <c r="AE103" s="33"/>
      <c r="AF103" s="33"/>
      <c r="AG103" s="33"/>
      <c r="AH103" s="33"/>
      <c r="AI103" s="33"/>
      <c r="AJ103" s="33"/>
      <c r="AK103" s="33"/>
      <c r="AL103" s="33"/>
      <c r="AM103" s="33"/>
      <c r="AN103" s="33"/>
      <c r="AO103" s="33"/>
      <c r="AP103" s="33"/>
      <c r="AQ103" s="33"/>
    </row>
    <row r="104" spans="1:43" x14ac:dyDescent="0.25">
      <c r="A104" s="23"/>
      <c r="B104" s="105"/>
      <c r="C104" s="23"/>
      <c r="D104" s="23"/>
      <c r="E104" s="23"/>
      <c r="F104" s="106"/>
      <c r="K104" s="94">
        <v>29</v>
      </c>
      <c r="L104" s="95">
        <f t="shared" si="26"/>
        <v>1730.6785575543829</v>
      </c>
      <c r="M104" s="95">
        <f t="shared" si="27"/>
        <v>0</v>
      </c>
      <c r="N104" s="95">
        <f t="shared" si="28"/>
        <v>0</v>
      </c>
      <c r="O104" s="95">
        <f t="shared" si="29"/>
        <v>0</v>
      </c>
      <c r="P104" s="95">
        <f t="shared" si="30"/>
        <v>0</v>
      </c>
      <c r="Q104" s="95">
        <f t="shared" si="31"/>
        <v>-1730.6785575543829</v>
      </c>
      <c r="R104" s="95">
        <f t="shared" si="32"/>
        <v>-845.71555128144587</v>
      </c>
      <c r="S104" s="95">
        <f t="shared" si="34"/>
        <v>-26103.995519539854</v>
      </c>
      <c r="T104" s="97">
        <f t="shared" si="33"/>
        <v>-26103.995519539854</v>
      </c>
      <c r="AB104" s="33" t="s">
        <v>373</v>
      </c>
      <c r="AC104" s="33"/>
      <c r="AD104" s="33" t="e">
        <f>AD99/E26*100</f>
        <v>#DIV/0!</v>
      </c>
      <c r="AE104" s="33" t="s">
        <v>9</v>
      </c>
      <c r="AF104" s="33"/>
      <c r="AG104" s="33"/>
      <c r="AH104" s="33"/>
      <c r="AI104" s="33"/>
      <c r="AJ104" s="33"/>
      <c r="AK104" s="33"/>
      <c r="AL104" s="33"/>
      <c r="AM104" s="33"/>
      <c r="AN104" s="33"/>
      <c r="AO104" s="33"/>
      <c r="AP104" s="33"/>
      <c r="AQ104" s="33"/>
    </row>
    <row r="105" spans="1:43" x14ac:dyDescent="0.25">
      <c r="A105" s="59" t="s">
        <v>352</v>
      </c>
      <c r="B105" s="47"/>
      <c r="C105" s="46"/>
      <c r="D105" s="46" t="s">
        <v>362</v>
      </c>
      <c r="E105" s="107"/>
      <c r="F105" s="46"/>
      <c r="K105" s="94">
        <v>30</v>
      </c>
      <c r="L105" s="95">
        <f t="shared" si="26"/>
        <v>1770.4841643781335</v>
      </c>
      <c r="M105" s="95">
        <f t="shared" si="27"/>
        <v>0</v>
      </c>
      <c r="N105" s="95">
        <f t="shared" si="28"/>
        <v>0</v>
      </c>
      <c r="O105" s="95">
        <f t="shared" si="29"/>
        <v>0</v>
      </c>
      <c r="P105" s="95">
        <f t="shared" si="30"/>
        <v>0</v>
      </c>
      <c r="Q105" s="95">
        <f t="shared" si="31"/>
        <v>-1770.4841643781335</v>
      </c>
      <c r="R105" s="95">
        <f t="shared" si="32"/>
        <v>-844.06537459601873</v>
      </c>
      <c r="S105" s="95">
        <f t="shared" si="34"/>
        <v>-26948.060894135873</v>
      </c>
      <c r="T105" s="97">
        <f t="shared" si="33"/>
        <v>-26948.060894135873</v>
      </c>
      <c r="AB105" s="33" t="s">
        <v>128</v>
      </c>
      <c r="AC105" s="33"/>
      <c r="AD105" s="33">
        <v>25</v>
      </c>
      <c r="AE105" s="33" t="s">
        <v>14</v>
      </c>
      <c r="AF105" s="33"/>
      <c r="AG105" s="33"/>
      <c r="AH105" s="33"/>
      <c r="AI105" s="33"/>
      <c r="AJ105" s="33"/>
      <c r="AK105" s="33"/>
      <c r="AL105" s="33"/>
      <c r="AM105" s="33"/>
      <c r="AN105" s="33"/>
      <c r="AO105" s="33"/>
      <c r="AP105" s="33"/>
      <c r="AQ105" s="33"/>
    </row>
    <row r="106" spans="1:43" x14ac:dyDescent="0.25">
      <c r="A106" s="108" t="s">
        <v>32</v>
      </c>
      <c r="B106" s="109">
        <f>K69</f>
        <v>0</v>
      </c>
      <c r="C106" s="110" t="s">
        <v>16</v>
      </c>
      <c r="D106" s="110" t="s">
        <v>46</v>
      </c>
      <c r="E106" s="111" t="e">
        <f>E43</f>
        <v>#DIV/0!</v>
      </c>
      <c r="F106" s="64" t="s">
        <v>9</v>
      </c>
      <c r="K106" s="94">
        <v>31</v>
      </c>
      <c r="L106" s="95">
        <f t="shared" si="26"/>
        <v>1811.2053001588299</v>
      </c>
      <c r="M106" s="95">
        <f t="shared" si="27"/>
        <v>0</v>
      </c>
      <c r="N106" s="95">
        <f t="shared" si="28"/>
        <v>0</v>
      </c>
      <c r="O106" s="95">
        <f t="shared" si="29"/>
        <v>0</v>
      </c>
      <c r="P106" s="95">
        <f t="shared" si="30"/>
        <v>0</v>
      </c>
      <c r="Q106" s="95">
        <f t="shared" si="31"/>
        <v>-1811.2053001588299</v>
      </c>
      <c r="R106" s="95">
        <f t="shared" si="32"/>
        <v>-842.41841776753813</v>
      </c>
      <c r="S106" s="95">
        <f t="shared" si="34"/>
        <v>-27790.479311903411</v>
      </c>
      <c r="T106" s="97">
        <f t="shared" si="33"/>
        <v>-27790.479311903411</v>
      </c>
      <c r="AB106" s="33"/>
      <c r="AC106" s="33"/>
      <c r="AD106" s="33"/>
      <c r="AE106" s="33"/>
      <c r="AF106" s="33"/>
      <c r="AG106" s="33"/>
      <c r="AH106" s="33"/>
      <c r="AI106" s="33"/>
      <c r="AJ106" s="33"/>
      <c r="AK106" s="33"/>
      <c r="AL106" s="33"/>
      <c r="AM106" s="33"/>
      <c r="AN106" s="33"/>
      <c r="AO106" s="33"/>
      <c r="AP106" s="33"/>
      <c r="AQ106" s="33"/>
    </row>
    <row r="107" spans="1:43" ht="25.5" x14ac:dyDescent="0.25">
      <c r="A107" s="108" t="s">
        <v>33</v>
      </c>
      <c r="B107" s="109">
        <f>K70</f>
        <v>0</v>
      </c>
      <c r="C107" s="110" t="s">
        <v>16</v>
      </c>
      <c r="D107" s="71" t="s">
        <v>300</v>
      </c>
      <c r="E107" s="109">
        <f>E25</f>
        <v>0</v>
      </c>
      <c r="F107" s="64" t="s">
        <v>301</v>
      </c>
      <c r="K107" s="94">
        <v>32</v>
      </c>
      <c r="L107" s="95">
        <f t="shared" si="26"/>
        <v>1852.8630220624832</v>
      </c>
      <c r="M107" s="95">
        <f t="shared" si="27"/>
        <v>0</v>
      </c>
      <c r="N107" s="95">
        <f t="shared" si="28"/>
        <v>0</v>
      </c>
      <c r="O107" s="95">
        <f t="shared" si="29"/>
        <v>0</v>
      </c>
      <c r="P107" s="95">
        <f t="shared" si="30"/>
        <v>0</v>
      </c>
      <c r="Q107" s="95">
        <f t="shared" si="31"/>
        <v>-1852.8630220624832</v>
      </c>
      <c r="R107" s="95">
        <f t="shared" si="32"/>
        <v>-840.77467451335781</v>
      </c>
      <c r="S107" s="95">
        <f t="shared" si="34"/>
        <v>-28631.25398641677</v>
      </c>
      <c r="T107" s="97">
        <f t="shared" si="33"/>
        <v>-28631.25398641677</v>
      </c>
      <c r="AB107" s="33" t="s">
        <v>363</v>
      </c>
      <c r="AC107" s="33"/>
      <c r="AD107" s="33">
        <f>AD63*AD$15+AE63*AE$15+AF63*AF$15+AG63*AG$15+AH63*AH$15+AI63*AI$15+AJ63*AJ$15+AK63*AK$15+AL63*AL$15+AM63*AM$15+AN63*AN$15+AO63*AO$15</f>
        <v>0</v>
      </c>
      <c r="AE107" s="33"/>
      <c r="AF107" s="33"/>
      <c r="AG107" s="33"/>
      <c r="AH107" s="33"/>
      <c r="AI107" s="33"/>
      <c r="AJ107" s="33"/>
      <c r="AK107" s="33"/>
      <c r="AL107" s="33"/>
      <c r="AM107" s="33"/>
      <c r="AN107" s="33"/>
      <c r="AO107" s="33"/>
      <c r="AP107" s="33"/>
      <c r="AQ107" s="33"/>
    </row>
    <row r="108" spans="1:43" x14ac:dyDescent="0.25">
      <c r="A108" s="108" t="s">
        <v>34</v>
      </c>
      <c r="B108" s="98">
        <f>K71</f>
        <v>0</v>
      </c>
      <c r="C108" s="110" t="s">
        <v>16</v>
      </c>
      <c r="D108" s="71" t="s">
        <v>373</v>
      </c>
      <c r="E108" s="111" t="e">
        <f>AD104</f>
        <v>#DIV/0!</v>
      </c>
      <c r="F108" s="64" t="s">
        <v>9</v>
      </c>
      <c r="K108" s="94">
        <v>33</v>
      </c>
      <c r="L108" s="95">
        <f t="shared" si="26"/>
        <v>1895.4788715699201</v>
      </c>
      <c r="M108" s="95">
        <f t="shared" si="27"/>
        <v>0</v>
      </c>
      <c r="N108" s="95">
        <f t="shared" si="28"/>
        <v>0</v>
      </c>
      <c r="O108" s="95">
        <f t="shared" si="29"/>
        <v>0</v>
      </c>
      <c r="P108" s="95">
        <f t="shared" si="30"/>
        <v>0</v>
      </c>
      <c r="Q108" s="95">
        <f t="shared" si="31"/>
        <v>-1895.4788715699201</v>
      </c>
      <c r="R108" s="95">
        <f t="shared" si="32"/>
        <v>-839.13413856308784</v>
      </c>
      <c r="S108" s="95">
        <f t="shared" si="34"/>
        <v>-29470.388124979858</v>
      </c>
      <c r="T108" s="97">
        <f t="shared" si="33"/>
        <v>-29470.388124979858</v>
      </c>
      <c r="AB108" s="33" t="s">
        <v>270</v>
      </c>
      <c r="AC108" s="33"/>
      <c r="AD108" s="33">
        <f>AE31+AE38+(AD64*AD$15+AE64*AE$15+AF64*AF$15+AG64*AG$15+AH64*AH$15+AI64*AI$15+AJ64*AJ$15+AK64*AK$15+AL64*AL$15+AM64*AM$15+AN64*AN$15+AO64*AO$15)</f>
        <v>0</v>
      </c>
      <c r="AE108" s="33" t="s">
        <v>14</v>
      </c>
      <c r="AF108" s="33"/>
      <c r="AG108" s="33"/>
      <c r="AH108" s="33"/>
      <c r="AI108" s="33"/>
      <c r="AJ108" s="33"/>
      <c r="AK108" s="33"/>
      <c r="AL108" s="33"/>
      <c r="AM108" s="33"/>
      <c r="AN108" s="33"/>
      <c r="AO108" s="33"/>
      <c r="AP108" s="33"/>
      <c r="AQ108" s="33"/>
    </row>
    <row r="109" spans="1:43" ht="25.5" x14ac:dyDescent="0.25">
      <c r="A109" s="102" t="s">
        <v>40</v>
      </c>
      <c r="B109" s="112">
        <f>SUM(B106:B108)-B99</f>
        <v>0</v>
      </c>
      <c r="C109" s="59" t="s">
        <v>16</v>
      </c>
      <c r="D109" s="102" t="s">
        <v>158</v>
      </c>
      <c r="E109" s="112">
        <f>E26</f>
        <v>0</v>
      </c>
      <c r="F109" s="59" t="s">
        <v>14</v>
      </c>
      <c r="K109" s="94">
        <v>34</v>
      </c>
      <c r="L109" s="95">
        <f t="shared" si="26"/>
        <v>1939.074885616028</v>
      </c>
      <c r="M109" s="95">
        <f t="shared" si="27"/>
        <v>0</v>
      </c>
      <c r="N109" s="95">
        <f t="shared" si="28"/>
        <v>0</v>
      </c>
      <c r="O109" s="95">
        <f t="shared" si="29"/>
        <v>0</v>
      </c>
      <c r="P109" s="95">
        <f t="shared" si="30"/>
        <v>0</v>
      </c>
      <c r="Q109" s="95">
        <f t="shared" si="31"/>
        <v>-1939.074885616028</v>
      </c>
      <c r="R109" s="95">
        <f t="shared" si="32"/>
        <v>-837.49680365857444</v>
      </c>
      <c r="S109" s="95">
        <f t="shared" si="34"/>
        <v>-30307.884928638432</v>
      </c>
      <c r="T109" s="97">
        <f t="shared" si="33"/>
        <v>-30307.884928638432</v>
      </c>
      <c r="AB109" s="33"/>
      <c r="AC109" s="33"/>
      <c r="AD109" s="33"/>
      <c r="AE109" s="33"/>
      <c r="AF109" s="33"/>
      <c r="AG109" s="33"/>
      <c r="AH109" s="33"/>
      <c r="AI109" s="33"/>
      <c r="AJ109" s="33"/>
      <c r="AK109" s="33"/>
      <c r="AL109" s="33"/>
      <c r="AM109" s="33"/>
      <c r="AN109" s="33"/>
      <c r="AO109" s="33"/>
      <c r="AP109" s="33"/>
      <c r="AQ109" s="33"/>
    </row>
    <row r="110" spans="1:43" ht="25.5" x14ac:dyDescent="0.25">
      <c r="A110" s="142" t="s">
        <v>289</v>
      </c>
      <c r="B110" s="142">
        <v>0</v>
      </c>
      <c r="C110" s="67"/>
      <c r="D110" s="101" t="s">
        <v>284</v>
      </c>
      <c r="E110" s="16">
        <v>10</v>
      </c>
      <c r="F110" s="67" t="s">
        <v>285</v>
      </c>
      <c r="K110" s="94">
        <v>35</v>
      </c>
      <c r="L110" s="95">
        <f t="shared" si="26"/>
        <v>1983.6736079851964</v>
      </c>
      <c r="M110" s="95">
        <f t="shared" si="27"/>
        <v>0</v>
      </c>
      <c r="N110" s="95">
        <f t="shared" si="28"/>
        <v>0</v>
      </c>
      <c r="O110" s="95">
        <f t="shared" si="29"/>
        <v>0</v>
      </c>
      <c r="P110" s="95">
        <f t="shared" si="30"/>
        <v>0</v>
      </c>
      <c r="Q110" s="95">
        <f t="shared" si="31"/>
        <v>-1983.6736079851964</v>
      </c>
      <c r="R110" s="95">
        <f t="shared" si="32"/>
        <v>-835.86266355387477</v>
      </c>
      <c r="S110" s="95">
        <f t="shared" si="34"/>
        <v>-31143.747592192307</v>
      </c>
      <c r="T110" s="97">
        <f t="shared" si="33"/>
        <v>-31143.747592192307</v>
      </c>
      <c r="AB110" s="33"/>
      <c r="AC110" s="33"/>
      <c r="AD110" s="33"/>
      <c r="AE110" s="33"/>
      <c r="AF110" s="33"/>
      <c r="AG110" s="33"/>
      <c r="AH110" s="33"/>
      <c r="AI110" s="33"/>
      <c r="AJ110" s="33"/>
      <c r="AK110" s="33"/>
      <c r="AL110" s="33"/>
      <c r="AM110" s="33"/>
      <c r="AN110" s="33"/>
      <c r="AO110" s="33"/>
      <c r="AP110" s="33"/>
      <c r="AQ110" s="33"/>
    </row>
    <row r="111" spans="1:43" ht="25.5" x14ac:dyDescent="0.25">
      <c r="A111" s="108" t="s">
        <v>35</v>
      </c>
      <c r="B111" s="109">
        <f>L75</f>
        <v>895</v>
      </c>
      <c r="C111" s="109" t="s">
        <v>16</v>
      </c>
      <c r="D111" s="113"/>
      <c r="E111" s="109">
        <f>K128</f>
        <v>1123.5162867609429</v>
      </c>
      <c r="F111" s="110" t="s">
        <v>16</v>
      </c>
      <c r="K111" s="94">
        <v>36</v>
      </c>
      <c r="L111" s="95">
        <f t="shared" si="26"/>
        <v>2029.2981009688558</v>
      </c>
      <c r="M111" s="95">
        <f t="shared" si="27"/>
        <v>0</v>
      </c>
      <c r="N111" s="95">
        <f t="shared" si="28"/>
        <v>0</v>
      </c>
      <c r="O111" s="95">
        <f t="shared" si="29"/>
        <v>0</v>
      </c>
      <c r="P111" s="95">
        <f t="shared" si="30"/>
        <v>0</v>
      </c>
      <c r="Q111" s="95">
        <f t="shared" si="31"/>
        <v>-2029.2981009688558</v>
      </c>
      <c r="R111" s="95">
        <f t="shared" si="32"/>
        <v>-834.23171201523292</v>
      </c>
      <c r="S111" s="95">
        <f t="shared" si="34"/>
        <v>-31977.97930420754</v>
      </c>
      <c r="T111" s="97">
        <f t="shared" si="33"/>
        <v>-31977.97930420754</v>
      </c>
    </row>
    <row r="112" spans="1:43" ht="25.5" x14ac:dyDescent="0.25">
      <c r="A112" s="108" t="s">
        <v>36</v>
      </c>
      <c r="B112" s="109">
        <f>M75</f>
        <v>0</v>
      </c>
      <c r="C112" s="109" t="s">
        <v>16</v>
      </c>
      <c r="D112" s="113"/>
      <c r="E112" s="109">
        <f>K129</f>
        <v>0</v>
      </c>
      <c r="F112" s="110" t="s">
        <v>16</v>
      </c>
      <c r="K112" s="94">
        <v>37</v>
      </c>
      <c r="L112" s="95">
        <f t="shared" si="26"/>
        <v>2075.9719572911395</v>
      </c>
      <c r="M112" s="95">
        <f t="shared" si="27"/>
        <v>0</v>
      </c>
      <c r="N112" s="95">
        <f t="shared" si="28"/>
        <v>0</v>
      </c>
      <c r="O112" s="95">
        <f t="shared" si="29"/>
        <v>0</v>
      </c>
      <c r="P112" s="95">
        <f t="shared" si="30"/>
        <v>0</v>
      </c>
      <c r="Q112" s="95">
        <f t="shared" si="31"/>
        <v>-2075.9719572911395</v>
      </c>
      <c r="R112" s="95">
        <f t="shared" si="32"/>
        <v>-832.60394282105688</v>
      </c>
      <c r="S112" s="95">
        <f t="shared" si="34"/>
        <v>-32810.583247028597</v>
      </c>
      <c r="T112" s="97">
        <f t="shared" si="33"/>
        <v>-32810.583247028597</v>
      </c>
    </row>
    <row r="113" spans="1:20" ht="25.5" x14ac:dyDescent="0.25">
      <c r="A113" s="108" t="s">
        <v>37</v>
      </c>
      <c r="B113" s="109">
        <f>N75</f>
        <v>0</v>
      </c>
      <c r="C113" s="109" t="s">
        <v>16</v>
      </c>
      <c r="D113" s="113"/>
      <c r="E113" s="109">
        <f>K130</f>
        <v>0</v>
      </c>
      <c r="F113" s="110" t="s">
        <v>16</v>
      </c>
      <c r="K113" s="94">
        <v>38</v>
      </c>
      <c r="L113" s="95">
        <f t="shared" si="26"/>
        <v>2123.7193123088359</v>
      </c>
      <c r="M113" s="95">
        <f t="shared" si="27"/>
        <v>0</v>
      </c>
      <c r="N113" s="95">
        <f t="shared" si="28"/>
        <v>0</v>
      </c>
      <c r="O113" s="95">
        <f t="shared" si="29"/>
        <v>0</v>
      </c>
      <c r="P113" s="95">
        <f t="shared" si="30"/>
        <v>0</v>
      </c>
      <c r="Q113" s="95">
        <f t="shared" si="31"/>
        <v>-2123.7193123088359</v>
      </c>
      <c r="R113" s="95">
        <f t="shared" si="32"/>
        <v>-830.97934976189413</v>
      </c>
      <c r="S113" s="95">
        <f t="shared" si="34"/>
        <v>-33641.562596790493</v>
      </c>
      <c r="T113" s="97">
        <f t="shared" si="33"/>
        <v>-33641.562596790493</v>
      </c>
    </row>
    <row r="114" spans="1:20" ht="25.5" x14ac:dyDescent="0.25">
      <c r="A114" s="108" t="s">
        <v>38</v>
      </c>
      <c r="B114" s="109">
        <f>O75</f>
        <v>0</v>
      </c>
      <c r="C114" s="109" t="s">
        <v>16</v>
      </c>
      <c r="D114" s="113"/>
      <c r="E114" s="109">
        <f>K131</f>
        <v>0</v>
      </c>
      <c r="F114" s="110" t="s">
        <v>16</v>
      </c>
      <c r="K114" s="94">
        <v>39</v>
      </c>
      <c r="L114" s="95">
        <f t="shared" si="26"/>
        <v>2172.5648564919384</v>
      </c>
      <c r="M114" s="95">
        <f t="shared" si="27"/>
        <v>0</v>
      </c>
      <c r="N114" s="95">
        <f t="shared" si="28"/>
        <v>0</v>
      </c>
      <c r="O114" s="95">
        <f t="shared" si="29"/>
        <v>0</v>
      </c>
      <c r="P114" s="95">
        <f t="shared" si="30"/>
        <v>0</v>
      </c>
      <c r="Q114" s="95">
        <f t="shared" si="31"/>
        <v>-2172.5648564919384</v>
      </c>
      <c r="R114" s="95">
        <f t="shared" si="32"/>
        <v>-829.35792664040719</v>
      </c>
      <c r="S114" s="95">
        <f t="shared" si="34"/>
        <v>-34470.920523430897</v>
      </c>
      <c r="T114" s="97">
        <f t="shared" si="33"/>
        <v>-34470.920523430897</v>
      </c>
    </row>
    <row r="115" spans="1:20" ht="25.5" x14ac:dyDescent="0.25">
      <c r="A115" s="108" t="s">
        <v>39</v>
      </c>
      <c r="B115" s="109">
        <f>P75</f>
        <v>0</v>
      </c>
      <c r="C115" s="109" t="s">
        <v>16</v>
      </c>
      <c r="D115" s="113"/>
      <c r="E115" s="109">
        <f>K132</f>
        <v>0</v>
      </c>
      <c r="F115" s="110" t="s">
        <v>16</v>
      </c>
      <c r="K115" s="94">
        <v>40</v>
      </c>
      <c r="L115" s="95">
        <f t="shared" si="26"/>
        <v>2222.5338481912527</v>
      </c>
      <c r="M115" s="95">
        <f t="shared" si="27"/>
        <v>0</v>
      </c>
      <c r="N115" s="95">
        <f t="shared" si="28"/>
        <v>0</v>
      </c>
      <c r="O115" s="95">
        <f t="shared" si="29"/>
        <v>0</v>
      </c>
      <c r="P115" s="95">
        <f t="shared" si="30"/>
        <v>0</v>
      </c>
      <c r="Q115" s="95">
        <f t="shared" si="31"/>
        <v>-2222.5338481912527</v>
      </c>
      <c r="R115" s="95">
        <f t="shared" si="32"/>
        <v>-827.73966727135269</v>
      </c>
      <c r="S115" s="95">
        <f t="shared" si="34"/>
        <v>-35298.660190702249</v>
      </c>
      <c r="T115" s="97">
        <f t="shared" si="33"/>
        <v>-35298.660190702249</v>
      </c>
    </row>
    <row r="116" spans="1:20" x14ac:dyDescent="0.25">
      <c r="A116" s="102" t="s">
        <v>41</v>
      </c>
      <c r="B116" s="114">
        <f>SUM(B111:B112)</f>
        <v>895</v>
      </c>
      <c r="C116" s="114" t="s">
        <v>16</v>
      </c>
      <c r="D116" s="114"/>
      <c r="E116" s="114">
        <f>SUM(E111:E112)</f>
        <v>1123.5162867609429</v>
      </c>
      <c r="F116" s="102" t="s">
        <v>16</v>
      </c>
      <c r="K116" s="94">
        <v>41</v>
      </c>
      <c r="L116" s="95">
        <f t="shared" si="26"/>
        <v>2273.652126699651</v>
      </c>
      <c r="M116" s="95">
        <f t="shared" si="27"/>
        <v>0</v>
      </c>
      <c r="N116" s="95">
        <f t="shared" si="28"/>
        <v>0</v>
      </c>
      <c r="O116" s="95">
        <f t="shared" si="29"/>
        <v>0</v>
      </c>
      <c r="P116" s="95">
        <f t="shared" si="30"/>
        <v>0</v>
      </c>
      <c r="Q116" s="95">
        <f t="shared" si="31"/>
        <v>-2273.652126699651</v>
      </c>
      <c r="R116" s="95">
        <f t="shared" si="32"/>
        <v>-826.12456548155478</v>
      </c>
      <c r="S116" s="95">
        <f t="shared" si="34"/>
        <v>-36124.784756183806</v>
      </c>
      <c r="T116" s="97">
        <f t="shared" si="33"/>
        <v>-36124.784756183806</v>
      </c>
    </row>
    <row r="117" spans="1:20" ht="25.5" x14ac:dyDescent="0.25">
      <c r="A117" s="102" t="s">
        <v>42</v>
      </c>
      <c r="B117" s="114">
        <f>SUM(B113:B114)</f>
        <v>0</v>
      </c>
      <c r="C117" s="114" t="s">
        <v>16</v>
      </c>
      <c r="D117" s="114"/>
      <c r="E117" s="114">
        <f>SUM(E113:E114)</f>
        <v>0</v>
      </c>
      <c r="F117" s="102" t="s">
        <v>16</v>
      </c>
      <c r="K117" s="94">
        <v>42</v>
      </c>
      <c r="L117" s="95">
        <f t="shared" si="26"/>
        <v>2325.9461256137429</v>
      </c>
      <c r="M117" s="95">
        <f t="shared" si="27"/>
        <v>0</v>
      </c>
      <c r="N117" s="95">
        <f t="shared" si="28"/>
        <v>0</v>
      </c>
      <c r="O117" s="95">
        <f t="shared" si="29"/>
        <v>0</v>
      </c>
      <c r="P117" s="95">
        <f t="shared" si="30"/>
        <v>0</v>
      </c>
      <c r="Q117" s="95">
        <f t="shared" si="31"/>
        <v>-2325.9461256137429</v>
      </c>
      <c r="R117" s="95">
        <f t="shared" si="32"/>
        <v>-824.51261510988354</v>
      </c>
      <c r="S117" s="95">
        <f t="shared" si="34"/>
        <v>-36949.297371293687</v>
      </c>
      <c r="T117" s="97">
        <f t="shared" si="33"/>
        <v>-36949.297371293687</v>
      </c>
    </row>
    <row r="118" spans="1:20" ht="25.5" x14ac:dyDescent="0.25">
      <c r="A118" s="102" t="s">
        <v>43</v>
      </c>
      <c r="B118" s="114">
        <f>B117-B116</f>
        <v>-895</v>
      </c>
      <c r="C118" s="114" t="s">
        <v>16</v>
      </c>
      <c r="D118" s="114"/>
      <c r="E118" s="114">
        <f>E117-E116</f>
        <v>-1123.5162867609429</v>
      </c>
      <c r="F118" s="102" t="s">
        <v>16</v>
      </c>
      <c r="K118" s="94">
        <v>43</v>
      </c>
      <c r="L118" s="95">
        <f t="shared" si="26"/>
        <v>2379.4428865028585</v>
      </c>
      <c r="M118" s="95">
        <f t="shared" si="27"/>
        <v>0</v>
      </c>
      <c r="N118" s="95">
        <f t="shared" si="28"/>
        <v>0</v>
      </c>
      <c r="O118" s="95">
        <f t="shared" si="29"/>
        <v>0</v>
      </c>
      <c r="P118" s="95">
        <f t="shared" si="30"/>
        <v>0</v>
      </c>
      <c r="Q118" s="95">
        <f t="shared" si="31"/>
        <v>-2379.4428865028585</v>
      </c>
      <c r="R118" s="95">
        <f t="shared" si="32"/>
        <v>-822.90381000722982</v>
      </c>
      <c r="S118" s="95">
        <f t="shared" si="34"/>
        <v>-37772.201181300916</v>
      </c>
      <c r="T118" s="97">
        <f t="shared" si="33"/>
        <v>-37772.201181300916</v>
      </c>
    </row>
    <row r="119" spans="1:20" x14ac:dyDescent="0.25">
      <c r="K119" s="94">
        <v>44</v>
      </c>
      <c r="L119" s="95">
        <f t="shared" si="26"/>
        <v>2434.1700728924243</v>
      </c>
      <c r="M119" s="95">
        <f t="shared" si="27"/>
        <v>0</v>
      </c>
      <c r="N119" s="95">
        <f t="shared" si="28"/>
        <v>0</v>
      </c>
      <c r="O119" s="95">
        <f t="shared" si="29"/>
        <v>0</v>
      </c>
      <c r="P119" s="95">
        <f t="shared" si="30"/>
        <v>0</v>
      </c>
      <c r="Q119" s="95">
        <f t="shared" si="31"/>
        <v>-2434.1700728924243</v>
      </c>
      <c r="R119" s="95">
        <f t="shared" si="32"/>
        <v>-821.29814403648425</v>
      </c>
      <c r="S119" s="95">
        <f t="shared" si="34"/>
        <v>-38593.499325337398</v>
      </c>
      <c r="T119" s="97">
        <f t="shared" si="33"/>
        <v>-38593.499325337398</v>
      </c>
    </row>
    <row r="120" spans="1:20" x14ac:dyDescent="0.25">
      <c r="K120" s="94">
        <v>45</v>
      </c>
      <c r="L120" s="95">
        <f t="shared" si="26"/>
        <v>2490.1559845689499</v>
      </c>
      <c r="M120" s="95">
        <f t="shared" si="27"/>
        <v>0</v>
      </c>
      <c r="N120" s="95">
        <f t="shared" si="28"/>
        <v>0</v>
      </c>
      <c r="O120" s="95">
        <f t="shared" si="29"/>
        <v>0</v>
      </c>
      <c r="P120" s="95">
        <f t="shared" si="30"/>
        <v>0</v>
      </c>
      <c r="Q120" s="95">
        <f t="shared" si="31"/>
        <v>-2490.1559845689499</v>
      </c>
      <c r="R120" s="95">
        <f t="shared" si="32"/>
        <v>-819.69561107251047</v>
      </c>
      <c r="S120" s="95">
        <f t="shared" si="34"/>
        <v>-39413.194936409905</v>
      </c>
      <c r="T120" s="97">
        <f t="shared" si="33"/>
        <v>-39413.194936409905</v>
      </c>
    </row>
    <row r="121" spans="1:20" x14ac:dyDescent="0.25">
      <c r="K121" s="94">
        <v>46</v>
      </c>
      <c r="L121" s="95">
        <f t="shared" si="26"/>
        <v>2547.4295722140359</v>
      </c>
      <c r="M121" s="95">
        <f t="shared" si="27"/>
        <v>0</v>
      </c>
      <c r="N121" s="95">
        <f t="shared" si="28"/>
        <v>0</v>
      </c>
      <c r="O121" s="95">
        <f t="shared" si="29"/>
        <v>0</v>
      </c>
      <c r="P121" s="95">
        <f t="shared" si="30"/>
        <v>0</v>
      </c>
      <c r="Q121" s="95">
        <f t="shared" si="31"/>
        <v>-2547.4295722140359</v>
      </c>
      <c r="R121" s="95">
        <f t="shared" si="32"/>
        <v>-818.09620500212532</v>
      </c>
      <c r="S121" s="95">
        <f t="shared" si="34"/>
        <v>-40231.291141412032</v>
      </c>
      <c r="T121" s="97">
        <f t="shared" si="33"/>
        <v>-40231.291141412032</v>
      </c>
    </row>
    <row r="122" spans="1:20" x14ac:dyDescent="0.25">
      <c r="K122" s="94">
        <v>47</v>
      </c>
      <c r="L122" s="95">
        <f t="shared" si="26"/>
        <v>2606.0204523749576</v>
      </c>
      <c r="M122" s="95">
        <f t="shared" si="27"/>
        <v>0</v>
      </c>
      <c r="N122" s="95">
        <f t="shared" si="28"/>
        <v>0</v>
      </c>
      <c r="O122" s="95">
        <f t="shared" si="29"/>
        <v>0</v>
      </c>
      <c r="P122" s="95">
        <f t="shared" si="30"/>
        <v>0</v>
      </c>
      <c r="Q122" s="95">
        <f t="shared" si="31"/>
        <v>-2606.0204523749576</v>
      </c>
      <c r="R122" s="95">
        <f t="shared" si="32"/>
        <v>-816.4999197240719</v>
      </c>
      <c r="S122" s="95">
        <f t="shared" si="34"/>
        <v>-41047.7910611361</v>
      </c>
      <c r="T122" s="97">
        <f t="shared" si="33"/>
        <v>-41047.7910611361</v>
      </c>
    </row>
    <row r="123" spans="1:20" x14ac:dyDescent="0.25">
      <c r="K123" s="94">
        <v>48</v>
      </c>
      <c r="L123" s="95">
        <f t="shared" si="26"/>
        <v>2665.9589227795814</v>
      </c>
      <c r="M123" s="95">
        <f t="shared" si="27"/>
        <v>0</v>
      </c>
      <c r="N123" s="95">
        <f t="shared" si="28"/>
        <v>0</v>
      </c>
      <c r="O123" s="95">
        <f t="shared" si="29"/>
        <v>0</v>
      </c>
      <c r="P123" s="95">
        <f t="shared" si="30"/>
        <v>0</v>
      </c>
      <c r="Q123" s="95">
        <f t="shared" si="31"/>
        <v>-2665.9589227795814</v>
      </c>
      <c r="R123" s="95">
        <f t="shared" si="32"/>
        <v>-814.90674914900058</v>
      </c>
      <c r="S123" s="95">
        <f t="shared" si="34"/>
        <v>-41862.697810285099</v>
      </c>
      <c r="T123" s="97">
        <f t="shared" si="33"/>
        <v>-41862.697810285099</v>
      </c>
    </row>
    <row r="124" spans="1:20" x14ac:dyDescent="0.25">
      <c r="K124" s="94">
        <v>49</v>
      </c>
      <c r="L124" s="95">
        <f t="shared" si="26"/>
        <v>2727.2759780035117</v>
      </c>
      <c r="M124" s="95">
        <f t="shared" si="27"/>
        <v>0</v>
      </c>
      <c r="N124" s="95">
        <f t="shared" si="28"/>
        <v>0</v>
      </c>
      <c r="O124" s="95">
        <f t="shared" si="29"/>
        <v>0</v>
      </c>
      <c r="P124" s="95">
        <f t="shared" si="30"/>
        <v>0</v>
      </c>
      <c r="Q124" s="95">
        <f t="shared" si="31"/>
        <v>-2727.2759780035117</v>
      </c>
      <c r="R124" s="95">
        <f t="shared" si="32"/>
        <v>-813.31668719944162</v>
      </c>
      <c r="S124" s="95">
        <f t="shared" si="34"/>
        <v>-42676.014497484539</v>
      </c>
      <c r="T124" s="97">
        <f t="shared" si="33"/>
        <v>-42676.014497484539</v>
      </c>
    </row>
    <row r="125" spans="1:20" ht="15.75" thickBot="1" x14ac:dyDescent="0.3">
      <c r="K125" s="115">
        <v>50</v>
      </c>
      <c r="L125" s="116">
        <f t="shared" si="26"/>
        <v>2790.0033254975929</v>
      </c>
      <c r="M125" s="116">
        <f t="shared" si="27"/>
        <v>0</v>
      </c>
      <c r="N125" s="95">
        <f t="shared" si="28"/>
        <v>0</v>
      </c>
      <c r="O125" s="116">
        <f t="shared" si="29"/>
        <v>0</v>
      </c>
      <c r="P125" s="116">
        <f t="shared" si="30"/>
        <v>0</v>
      </c>
      <c r="Q125" s="116">
        <f t="shared" si="31"/>
        <v>-2790.0033254975929</v>
      </c>
      <c r="R125" s="116">
        <f t="shared" si="32"/>
        <v>-811.72972780978421</v>
      </c>
      <c r="S125" s="116">
        <f t="shared" si="34"/>
        <v>-43487.744225294322</v>
      </c>
      <c r="T125" s="117">
        <f t="shared" si="33"/>
        <v>-43487.744225294322</v>
      </c>
    </row>
    <row r="127" spans="1:20" x14ac:dyDescent="0.25">
      <c r="J127" s="31" t="s">
        <v>27</v>
      </c>
      <c r="K127" s="31" t="s">
        <v>28</v>
      </c>
      <c r="L127" s="24"/>
      <c r="M127" s="24" t="s">
        <v>133</v>
      </c>
      <c r="N127" s="24"/>
    </row>
    <row r="128" spans="1:20" x14ac:dyDescent="0.25">
      <c r="J128" s="24" t="s">
        <v>342</v>
      </c>
      <c r="K128" s="24">
        <f>$B$73*(1+$B$68*0.01)^E110</f>
        <v>1123.5162867609429</v>
      </c>
      <c r="L128" s="24"/>
      <c r="M128" s="24" t="s">
        <v>351</v>
      </c>
      <c r="N128" s="24"/>
    </row>
    <row r="129" spans="10:14" x14ac:dyDescent="0.25">
      <c r="J129" s="24" t="s">
        <v>343</v>
      </c>
      <c r="K129" s="24">
        <f>$E$73*(1+$B$68*0.01)^E110</f>
        <v>0</v>
      </c>
      <c r="L129" s="24"/>
      <c r="M129" s="24" t="s">
        <v>351</v>
      </c>
      <c r="N129" s="24"/>
    </row>
    <row r="130" spans="10:14" x14ac:dyDescent="0.25">
      <c r="J130" s="24" t="s">
        <v>344</v>
      </c>
      <c r="K130" s="24">
        <f>IF(D29="Volleinspeisung",B85*(1+$B$68*0.01)^E110,B90*(1+$B$68*0.01)^E110)</f>
        <v>0</v>
      </c>
      <c r="L130" s="24"/>
      <c r="M130" s="24" t="s">
        <v>351</v>
      </c>
      <c r="N130" s="24"/>
    </row>
    <row r="131" spans="10:14" x14ac:dyDescent="0.25">
      <c r="J131" s="24" t="s">
        <v>345</v>
      </c>
      <c r="K131" s="24">
        <f>$B$97*(1+$B$68*0.01)^E110</f>
        <v>0</v>
      </c>
      <c r="L131" s="24"/>
      <c r="M131" s="24" t="s">
        <v>351</v>
      </c>
      <c r="N131" s="24"/>
    </row>
    <row r="132" spans="10:14" x14ac:dyDescent="0.25">
      <c r="J132" s="24" t="s">
        <v>346</v>
      </c>
      <c r="K132" s="24">
        <f>(B90-E90)*(1+$B$68*0.01)^E110</f>
        <v>0</v>
      </c>
      <c r="L132" s="24"/>
      <c r="M132" s="24" t="s">
        <v>351</v>
      </c>
      <c r="N132" s="24"/>
    </row>
    <row r="133" spans="10:14" x14ac:dyDescent="0.25">
      <c r="J133" s="24" t="s">
        <v>347</v>
      </c>
      <c r="K133" s="118">
        <f ca="1">SUM(INDIRECT("R75:R" &amp; L133))-B109</f>
        <v>-22711.199961234212</v>
      </c>
      <c r="L133" s="119">
        <f>75+E102</f>
        <v>100</v>
      </c>
      <c r="M133" s="24" t="s">
        <v>350</v>
      </c>
      <c r="N133" s="24"/>
    </row>
    <row r="134" spans="10:14" x14ac:dyDescent="0.25">
      <c r="J134" s="24" t="s">
        <v>348</v>
      </c>
      <c r="K134" s="120" t="e" cm="1">
        <f t="array" ref="K134">MATCH(TRUE,T75:T125&gt;0,0)-1</f>
        <v>#N/A</v>
      </c>
      <c r="L134" s="24"/>
      <c r="M134" s="24" t="s">
        <v>349</v>
      </c>
      <c r="N134" s="24"/>
    </row>
    <row r="135" spans="10:14" ht="15.75" thickBot="1" x14ac:dyDescent="0.3"/>
    <row r="136" spans="10:14" x14ac:dyDescent="0.25">
      <c r="K136" s="121" t="s">
        <v>297</v>
      </c>
      <c r="L136" s="122"/>
      <c r="M136" s="122"/>
      <c r="N136" s="123"/>
    </row>
    <row r="137" spans="10:14" ht="14.45" customHeight="1" x14ac:dyDescent="0.25">
      <c r="K137" s="124"/>
      <c r="L137" s="125" t="s">
        <v>61</v>
      </c>
      <c r="M137" s="125" t="s">
        <v>298</v>
      </c>
      <c r="N137" s="126"/>
    </row>
    <row r="138" spans="10:14" x14ac:dyDescent="0.25">
      <c r="K138" s="124" t="s">
        <v>242</v>
      </c>
      <c r="L138" s="127">
        <f>B106*0.001</f>
        <v>0</v>
      </c>
      <c r="M138" s="127">
        <f>(SUM(N75,N100)-SUM(L75-L100))*0.001</f>
        <v>0.6852066245653905</v>
      </c>
      <c r="N138" s="126"/>
    </row>
    <row r="139" spans="10:14" x14ac:dyDescent="0.25">
      <c r="K139" s="124" t="s">
        <v>220</v>
      </c>
      <c r="L139" s="127">
        <f>B107*0.001</f>
        <v>0</v>
      </c>
      <c r="M139" s="127">
        <f>(SUM(O75:O100)-SUM(M75-M100))*0.001</f>
        <v>0</v>
      </c>
      <c r="N139" s="126"/>
    </row>
    <row r="140" spans="10:14" ht="15.75" thickBot="1" x14ac:dyDescent="0.3">
      <c r="K140" s="128" t="s">
        <v>60</v>
      </c>
      <c r="L140" s="129">
        <f>B108*0.001</f>
        <v>0</v>
      </c>
      <c r="M140" s="129">
        <f>SUM(P75:P100)*0.001</f>
        <v>0</v>
      </c>
      <c r="N140" s="130"/>
    </row>
    <row r="150" spans="1:23" x14ac:dyDescent="0.25">
      <c r="O150" s="19" t="s">
        <v>44</v>
      </c>
      <c r="P150" s="19">
        <v>0.03</v>
      </c>
    </row>
    <row r="151" spans="1:23" x14ac:dyDescent="0.25">
      <c r="O151" s="19" t="s">
        <v>45</v>
      </c>
      <c r="P151" s="19">
        <v>25</v>
      </c>
      <c r="Q151" s="19" t="s">
        <v>51</v>
      </c>
      <c r="U151" s="19" t="s">
        <v>54</v>
      </c>
    </row>
    <row r="152" spans="1:23" x14ac:dyDescent="0.25">
      <c r="Q152" s="19" t="s">
        <v>52</v>
      </c>
      <c r="R152" s="19" t="s">
        <v>53</v>
      </c>
      <c r="V152" s="19" t="s">
        <v>61</v>
      </c>
      <c r="W152" s="19" t="s">
        <v>62</v>
      </c>
    </row>
    <row r="153" spans="1:23" x14ac:dyDescent="0.25">
      <c r="O153" s="19" t="s">
        <v>40</v>
      </c>
      <c r="P153" s="19">
        <v>1419338.7837837837</v>
      </c>
      <c r="Q153" s="19">
        <v>0</v>
      </c>
      <c r="R153" s="19">
        <f t="shared" ref="R153:R173" si="48">-$P$153+Q153*$P$156</f>
        <v>-1419338.7837837837</v>
      </c>
      <c r="T153" s="19">
        <v>0.2</v>
      </c>
      <c r="U153" s="131" t="s">
        <v>55</v>
      </c>
      <c r="V153" s="132">
        <f>T153*$P$153*0.01</f>
        <v>2838.6775675675676</v>
      </c>
      <c r="W153" s="132">
        <f>70000*25</f>
        <v>1750000</v>
      </c>
    </row>
    <row r="154" spans="1:23" x14ac:dyDescent="0.25">
      <c r="O154" s="19" t="s">
        <v>43</v>
      </c>
      <c r="P154" s="19">
        <v>85356.774207576498</v>
      </c>
      <c r="Q154" s="19">
        <v>1</v>
      </c>
      <c r="R154" s="19">
        <f t="shared" si="48"/>
        <v>-1359885.5791546798</v>
      </c>
      <c r="T154" s="19">
        <v>0.1</v>
      </c>
      <c r="U154" s="133" t="s">
        <v>60</v>
      </c>
      <c r="V154" s="132">
        <f>T154*$P$153*0.01</f>
        <v>1419.3387837837838</v>
      </c>
      <c r="W154" s="132">
        <f>5000*25</f>
        <v>125000</v>
      </c>
    </row>
    <row r="155" spans="1:23" x14ac:dyDescent="0.25">
      <c r="O155" s="19" t="s">
        <v>49</v>
      </c>
      <c r="P155" s="19">
        <f>$P$154 * ((1 - (1 + $P$150)^(-$P$151)) / $P$150)</f>
        <v>1486330.1157275992</v>
      </c>
      <c r="Q155" s="19">
        <v>2</v>
      </c>
      <c r="R155" s="19">
        <f t="shared" si="48"/>
        <v>-1300432.3745255757</v>
      </c>
      <c r="T155" s="19">
        <f>1-SUM(T153:T154,T156,T157,T158)</f>
        <v>0.6</v>
      </c>
      <c r="U155" s="131" t="s">
        <v>56</v>
      </c>
      <c r="V155" s="132">
        <f>T155*$P$153*0.01</f>
        <v>8516.0327027027015</v>
      </c>
      <c r="W155" s="132">
        <f>15000*25</f>
        <v>375000</v>
      </c>
    </row>
    <row r="156" spans="1:23" ht="14.45" customHeight="1" x14ac:dyDescent="0.25">
      <c r="A156" s="185"/>
      <c r="B156" s="186"/>
      <c r="C156" s="186"/>
      <c r="D156" s="186"/>
      <c r="E156" s="186"/>
      <c r="F156" s="186"/>
      <c r="O156" s="19" t="s">
        <v>50</v>
      </c>
      <c r="P156" s="19">
        <f>($P$154 * ((1 - (1 + $P$150)^(-$P$151)) / $P$150))/P151</f>
        <v>59453.204629103973</v>
      </c>
      <c r="Q156" s="19">
        <v>3</v>
      </c>
      <c r="R156" s="19">
        <f t="shared" si="48"/>
        <v>-1240979.1698964718</v>
      </c>
      <c r="T156" s="19">
        <v>0</v>
      </c>
      <c r="U156" s="131" t="s">
        <v>57</v>
      </c>
      <c r="V156" s="132">
        <f>T156*$P$153*0.01</f>
        <v>0</v>
      </c>
      <c r="W156" s="132">
        <v>0</v>
      </c>
    </row>
    <row r="157" spans="1:23" x14ac:dyDescent="0.25">
      <c r="A157" s="186"/>
      <c r="B157" s="186"/>
      <c r="C157" s="186"/>
      <c r="D157" s="186"/>
      <c r="E157" s="186"/>
      <c r="F157" s="186"/>
      <c r="Q157" s="19">
        <v>4</v>
      </c>
      <c r="R157" s="19">
        <f t="shared" si="48"/>
        <v>-1181525.9652673677</v>
      </c>
      <c r="T157" s="19">
        <v>0</v>
      </c>
      <c r="U157" s="131" t="s">
        <v>58</v>
      </c>
      <c r="V157" s="132">
        <f t="shared" ref="V157:V158" si="49">T157*$P$153</f>
        <v>0</v>
      </c>
      <c r="W157" s="132">
        <v>0</v>
      </c>
    </row>
    <row r="158" spans="1:23" x14ac:dyDescent="0.25">
      <c r="A158" s="138"/>
      <c r="B158" s="139"/>
      <c r="C158" s="138"/>
      <c r="D158" s="138"/>
      <c r="E158" s="139"/>
      <c r="F158" s="138"/>
      <c r="Q158" s="19">
        <v>5</v>
      </c>
      <c r="R158" s="19">
        <f t="shared" si="48"/>
        <v>-1122072.7606382638</v>
      </c>
      <c r="T158" s="19">
        <v>0.1</v>
      </c>
      <c r="U158" s="131" t="s">
        <v>59</v>
      </c>
      <c r="V158" s="132">
        <f t="shared" si="49"/>
        <v>141933.87837837837</v>
      </c>
      <c r="W158" s="132">
        <f>9000*25</f>
        <v>225000</v>
      </c>
    </row>
    <row r="159" spans="1:23" x14ac:dyDescent="0.25">
      <c r="Q159" s="19">
        <v>6</v>
      </c>
      <c r="R159" s="19">
        <f t="shared" si="48"/>
        <v>-1062619.5560091599</v>
      </c>
    </row>
    <row r="160" spans="1:23" x14ac:dyDescent="0.25">
      <c r="Q160" s="19">
        <v>7</v>
      </c>
      <c r="R160" s="19">
        <f t="shared" si="48"/>
        <v>-1003166.3513800559</v>
      </c>
    </row>
    <row r="161" spans="17:18" x14ac:dyDescent="0.25">
      <c r="Q161" s="19">
        <v>8</v>
      </c>
      <c r="R161" s="19">
        <f t="shared" si="48"/>
        <v>-943713.14675095188</v>
      </c>
    </row>
    <row r="162" spans="17:18" x14ac:dyDescent="0.25">
      <c r="Q162" s="19">
        <v>9</v>
      </c>
      <c r="R162" s="19">
        <f t="shared" si="48"/>
        <v>-884259.94212184788</v>
      </c>
    </row>
    <row r="163" spans="17:18" x14ac:dyDescent="0.25">
      <c r="Q163" s="19">
        <v>10</v>
      </c>
      <c r="R163" s="19">
        <f t="shared" si="48"/>
        <v>-824806.73749274388</v>
      </c>
    </row>
    <row r="164" spans="17:18" x14ac:dyDescent="0.25">
      <c r="Q164" s="19">
        <v>11</v>
      </c>
      <c r="R164" s="19">
        <f t="shared" si="48"/>
        <v>-765353.53286363999</v>
      </c>
    </row>
    <row r="165" spans="17:18" x14ac:dyDescent="0.25">
      <c r="Q165" s="19">
        <v>12</v>
      </c>
      <c r="R165" s="19">
        <f t="shared" si="48"/>
        <v>-705900.32823453599</v>
      </c>
    </row>
    <row r="166" spans="17:18" x14ac:dyDescent="0.25">
      <c r="Q166" s="19">
        <v>13</v>
      </c>
      <c r="R166" s="19">
        <f t="shared" si="48"/>
        <v>-646447.12360543199</v>
      </c>
    </row>
    <row r="167" spans="17:18" x14ac:dyDescent="0.25">
      <c r="Q167" s="19">
        <v>14</v>
      </c>
      <c r="R167" s="19">
        <f t="shared" si="48"/>
        <v>-586993.9189763281</v>
      </c>
    </row>
    <row r="168" spans="17:18" x14ac:dyDescent="0.25">
      <c r="Q168" s="19">
        <v>15</v>
      </c>
      <c r="R168" s="19">
        <f t="shared" si="48"/>
        <v>-527540.7143472241</v>
      </c>
    </row>
    <row r="169" spans="17:18" x14ac:dyDescent="0.25">
      <c r="Q169" s="19">
        <v>16</v>
      </c>
      <c r="R169" s="19">
        <f t="shared" si="48"/>
        <v>-468087.5097181201</v>
      </c>
    </row>
    <row r="170" spans="17:18" x14ac:dyDescent="0.25">
      <c r="Q170" s="19">
        <v>17</v>
      </c>
      <c r="R170" s="19">
        <f t="shared" si="48"/>
        <v>-408634.3050890161</v>
      </c>
    </row>
    <row r="171" spans="17:18" x14ac:dyDescent="0.25">
      <c r="Q171" s="19">
        <v>18</v>
      </c>
      <c r="R171" s="19">
        <f t="shared" si="48"/>
        <v>-349181.10045991209</v>
      </c>
    </row>
    <row r="172" spans="17:18" x14ac:dyDescent="0.25">
      <c r="Q172" s="19">
        <v>19</v>
      </c>
      <c r="R172" s="19">
        <f t="shared" si="48"/>
        <v>-289727.89583080821</v>
      </c>
    </row>
    <row r="173" spans="17:18" x14ac:dyDescent="0.25">
      <c r="Q173" s="19">
        <v>20</v>
      </c>
      <c r="R173" s="19">
        <f t="shared" si="48"/>
        <v>-230274.69120170409</v>
      </c>
    </row>
  </sheetData>
  <sheetProtection formatCells="0" formatColumns="0" formatRows="0" insertColumns="0" insertRows="0" insertHyperlinks="0" deleteColumns="0" deleteRows="0" sort="0" autoFilter="0" pivotTables="0"/>
  <mergeCells count="56">
    <mergeCell ref="A156:F157"/>
    <mergeCell ref="J29:L29"/>
    <mergeCell ref="A50:C50"/>
    <mergeCell ref="A57:A58"/>
    <mergeCell ref="A61:C61"/>
    <mergeCell ref="A29:C29"/>
    <mergeCell ref="D29:F29"/>
    <mergeCell ref="A76:F76"/>
    <mergeCell ref="A46:F46"/>
    <mergeCell ref="J45:L45"/>
    <mergeCell ref="J50:L50"/>
    <mergeCell ref="A39:F39"/>
    <mergeCell ref="D40:F40"/>
    <mergeCell ref="A48:C48"/>
    <mergeCell ref="D48:F48"/>
    <mergeCell ref="A47:F47"/>
    <mergeCell ref="J2:W4"/>
    <mergeCell ref="J7:L7"/>
    <mergeCell ref="J15:L15"/>
    <mergeCell ref="A12:F12"/>
    <mergeCell ref="B8:C8"/>
    <mergeCell ref="J6:O6"/>
    <mergeCell ref="A1:F1"/>
    <mergeCell ref="A13:F13"/>
    <mergeCell ref="A19:F19"/>
    <mergeCell ref="E9:F9"/>
    <mergeCell ref="B10:F10"/>
    <mergeCell ref="A2:F6"/>
    <mergeCell ref="B9:C9"/>
    <mergeCell ref="D61:F61"/>
    <mergeCell ref="A67:F67"/>
    <mergeCell ref="B77:F77"/>
    <mergeCell ref="D36:D37"/>
    <mergeCell ref="T6:Z6"/>
    <mergeCell ref="Y11:Y18"/>
    <mergeCell ref="A28:F28"/>
    <mergeCell ref="D20:F20"/>
    <mergeCell ref="J20:L20"/>
    <mergeCell ref="J23:L23"/>
    <mergeCell ref="J26:O28"/>
    <mergeCell ref="A42:C45"/>
    <mergeCell ref="D99:F99"/>
    <mergeCell ref="J67:L67"/>
    <mergeCell ref="A110:B110"/>
    <mergeCell ref="A81:C81"/>
    <mergeCell ref="D81:F81"/>
    <mergeCell ref="A82:B82"/>
    <mergeCell ref="C82:F82"/>
    <mergeCell ref="A101:F101"/>
    <mergeCell ref="A69:C69"/>
    <mergeCell ref="D69:F69"/>
    <mergeCell ref="A92:C92"/>
    <mergeCell ref="D92:F92"/>
    <mergeCell ref="A87:C87"/>
    <mergeCell ref="D87:F87"/>
    <mergeCell ref="A75:F75"/>
  </mergeCells>
  <phoneticPr fontId="11" type="noConversion"/>
  <conditionalFormatting sqref="A57:C58">
    <cfRule type="expression" dxfId="49" priority="13">
      <formula>NOT($B$59=0)</formula>
    </cfRule>
  </conditionalFormatting>
  <conditionalFormatting sqref="A59:C59">
    <cfRule type="expression" dxfId="48" priority="12">
      <formula>NOT($B$59=0)</formula>
    </cfRule>
  </conditionalFormatting>
  <conditionalFormatting sqref="A64:C64">
    <cfRule type="expression" dxfId="47" priority="8">
      <formula>NOT($B$65=0)</formula>
    </cfRule>
  </conditionalFormatting>
  <conditionalFormatting sqref="A65:C65">
    <cfRule type="expression" dxfId="46" priority="9">
      <formula>NOT($B$65=0)</formula>
    </cfRule>
  </conditionalFormatting>
  <conditionalFormatting sqref="A83:C84">
    <cfRule type="expression" dxfId="45" priority="33">
      <formula>$C$82="PPA"</formula>
    </cfRule>
  </conditionalFormatting>
  <conditionalFormatting sqref="A82:F85 D87">
    <cfRule type="expression" dxfId="44" priority="24">
      <formula>$D$29="Eigenbedarf (inkl. E-Ladesäulen)+ Überschusseinspeisung"</formula>
    </cfRule>
  </conditionalFormatting>
  <conditionalFormatting sqref="A83:F84">
    <cfRule type="expression" dxfId="43" priority="34">
      <formula>$C$82="Einspeisevergütung bzw. Marktprämie"</formula>
    </cfRule>
  </conditionalFormatting>
  <conditionalFormatting sqref="A93:F97 D61:F65 D48:F59 A31:F37 A41:F41 D40 D68:F73 D81 A88:F90 A42 D42:F44">
    <cfRule type="expression" dxfId="42" priority="27">
      <formula>$D$29="Volleinspeisung"</formula>
    </cfRule>
  </conditionalFormatting>
  <conditionalFormatting sqref="B20:B21">
    <cfRule type="cellIs" dxfId="41" priority="54" operator="equal">
      <formula>$U$8</formula>
    </cfRule>
  </conditionalFormatting>
  <conditionalFormatting sqref="B21">
    <cfRule type="cellIs" dxfId="40" priority="53" operator="equal">
      <formula>$U$9</formula>
    </cfRule>
  </conditionalFormatting>
  <conditionalFormatting sqref="B24">
    <cfRule type="cellIs" dxfId="39" priority="52" operator="equal">
      <formula>$U$10</formula>
    </cfRule>
  </conditionalFormatting>
  <conditionalFormatting sqref="B30 E30">
    <cfRule type="expression" dxfId="38" priority="28">
      <formula>$D$29="Eigenbedarf (inkl. E-Ladesäulen)+ Überschusseinspeisung"</formula>
    </cfRule>
  </conditionalFormatting>
  <conditionalFormatting sqref="B37">
    <cfRule type="cellIs" dxfId="37" priority="49" operator="greaterThan">
      <formula>100</formula>
    </cfRule>
    <cfRule type="cellIs" dxfId="36" priority="48" operator="lessThan">
      <formula>100</formula>
    </cfRule>
  </conditionalFormatting>
  <conditionalFormatting sqref="B40">
    <cfRule type="expression" dxfId="35" priority="5">
      <formula>$D$29="Eigenbedarf (inkl. E-Ladesäulen)+ Überschusseinspeisung"</formula>
    </cfRule>
  </conditionalFormatting>
  <conditionalFormatting sqref="B41">
    <cfRule type="expression" dxfId="34" priority="1">
      <formula>AND(NOT($D$29="Volleinspeisung"),NOT($B$41=$K$25))</formula>
    </cfRule>
  </conditionalFormatting>
  <conditionalFormatting sqref="B49">
    <cfRule type="cellIs" dxfId="33" priority="47" operator="equal">
      <formula>$U$24</formula>
    </cfRule>
  </conditionalFormatting>
  <conditionalFormatting sqref="B51:B55">
    <cfRule type="expression" dxfId="32" priority="18">
      <formula>NOT(OR(COUNTBLANK($B$51:$B$55)=0,COUNTBLANK($B$51:$B$55)=5))</formula>
    </cfRule>
  </conditionalFormatting>
  <conditionalFormatting sqref="B56">
    <cfRule type="expression" dxfId="31" priority="19">
      <formula>OR(NOT(OR(COUNTBLANK($B$51:$B$55)=0,COUNTBLANK($B$51:$B$55)=5)),AND($B$56=0,NOT($B$51=0)))</formula>
    </cfRule>
  </conditionalFormatting>
  <conditionalFormatting sqref="B62">
    <cfRule type="cellIs" dxfId="30" priority="17" operator="equal">
      <formula>NOT($K$35)</formula>
    </cfRule>
  </conditionalFormatting>
  <conditionalFormatting sqref="B63">
    <cfRule type="cellIs" dxfId="29" priority="14" operator="equal">
      <formula>NOT($K$37)</formula>
    </cfRule>
  </conditionalFormatting>
  <conditionalFormatting sqref="B68">
    <cfRule type="cellIs" dxfId="28" priority="41" operator="equal">
      <formula>$U$30</formula>
    </cfRule>
  </conditionalFormatting>
  <conditionalFormatting sqref="B70">
    <cfRule type="cellIs" dxfId="27" priority="40" operator="equal">
      <formula>$U$31</formula>
    </cfRule>
  </conditionalFormatting>
  <conditionalFormatting sqref="B71">
    <cfRule type="cellIs" dxfId="26" priority="39" operator="equal">
      <formula>$U$32</formula>
    </cfRule>
  </conditionalFormatting>
  <conditionalFormatting sqref="B84">
    <cfRule type="cellIs" dxfId="25" priority="36" operator="equal">
      <formula>$U$37</formula>
    </cfRule>
  </conditionalFormatting>
  <conditionalFormatting sqref="B93">
    <cfRule type="cellIs" dxfId="24" priority="30" operator="greaterThan">
      <formula>$E$31</formula>
    </cfRule>
  </conditionalFormatting>
  <conditionalFormatting sqref="B94">
    <cfRule type="cellIs" dxfId="23" priority="21" operator="greaterThan">
      <formula>$E$33</formula>
    </cfRule>
  </conditionalFormatting>
  <conditionalFormatting sqref="D92">
    <cfRule type="expression" dxfId="22" priority="4">
      <formula>$D$29="Eigenbedarf (inkl. E-Ladesäulen)+ Überschusseinspeisung"</formula>
    </cfRule>
  </conditionalFormatting>
  <conditionalFormatting sqref="D57:F58">
    <cfRule type="expression" dxfId="21" priority="10">
      <formula>NOT($E$59=0)</formula>
    </cfRule>
  </conditionalFormatting>
  <conditionalFormatting sqref="D59:F59">
    <cfRule type="expression" dxfId="20" priority="11">
      <formula>NOT($E$59=0)</formula>
    </cfRule>
  </conditionalFormatting>
  <conditionalFormatting sqref="D64:F64">
    <cfRule type="expression" dxfId="19" priority="6">
      <formula>NOT($E$65=0)</formula>
    </cfRule>
  </conditionalFormatting>
  <conditionalFormatting sqref="D65:F65">
    <cfRule type="expression" dxfId="18" priority="7">
      <formula>NOT($E$65=0)</formula>
    </cfRule>
  </conditionalFormatting>
  <conditionalFormatting sqref="D83:F84">
    <cfRule type="expression" dxfId="17" priority="32">
      <formula>$C$82="Direktvermarktung"</formula>
    </cfRule>
  </conditionalFormatting>
  <conditionalFormatting sqref="E21">
    <cfRule type="cellIs" dxfId="16" priority="58" operator="equal">
      <formula>97.49</formula>
    </cfRule>
    <cfRule type="cellIs" dxfId="15" priority="56" operator="equal">
      <formula>$U$19</formula>
    </cfRule>
  </conditionalFormatting>
  <conditionalFormatting sqref="E22">
    <cfRule type="cellIs" dxfId="14" priority="57" operator="equal">
      <formula>$U$20</formula>
    </cfRule>
  </conditionalFormatting>
  <conditionalFormatting sqref="E23">
    <cfRule type="cellIs" dxfId="13" priority="55" operator="equal">
      <formula>$U$21</formula>
    </cfRule>
  </conditionalFormatting>
  <conditionalFormatting sqref="E32">
    <cfRule type="expression" dxfId="12" priority="3">
      <formula>AND(NOT($E$31=0),$E$32=0)</formula>
    </cfRule>
  </conditionalFormatting>
  <conditionalFormatting sqref="E34">
    <cfRule type="expression" dxfId="11" priority="2">
      <formula>AND(NOT($E$33=0),$E$34=0)</formula>
    </cfRule>
  </conditionalFormatting>
  <conditionalFormatting sqref="E35">
    <cfRule type="cellIs" dxfId="10" priority="51" operator="equal">
      <formula>$U$22</formula>
    </cfRule>
  </conditionalFormatting>
  <conditionalFormatting sqref="E36">
    <cfRule type="cellIs" dxfId="9" priority="50" operator="equal">
      <formula>$U$23</formula>
    </cfRule>
  </conditionalFormatting>
  <conditionalFormatting sqref="E49">
    <cfRule type="cellIs" dxfId="8" priority="46" operator="equal">
      <formula>$U$25</formula>
    </cfRule>
  </conditionalFormatting>
  <conditionalFormatting sqref="E50">
    <cfRule type="cellIs" dxfId="7" priority="45" operator="equal">
      <formula>$U$26</formula>
    </cfRule>
  </conditionalFormatting>
  <conditionalFormatting sqref="E52">
    <cfRule type="cellIs" dxfId="6" priority="43" operator="equal">
      <formula>$U$27</formula>
    </cfRule>
    <cfRule type="cellIs" dxfId="5" priority="44" operator="equal">
      <formula>"$U$27"</formula>
    </cfRule>
  </conditionalFormatting>
  <conditionalFormatting sqref="E53">
    <cfRule type="cellIs" dxfId="4" priority="42" operator="equal">
      <formula>$U$28</formula>
    </cfRule>
  </conditionalFormatting>
  <conditionalFormatting sqref="E62">
    <cfRule type="expression" dxfId="3" priority="15">
      <formula>AND(NOT($D$29="Volleinspeisung"),NOT($E$62=$K$41))</formula>
    </cfRule>
  </conditionalFormatting>
  <conditionalFormatting sqref="E63">
    <cfRule type="expression" dxfId="2" priority="16">
      <formula>AND(NOT($D$29="Volleinspeisung"),NOT($E$63=$K$43))</formula>
    </cfRule>
  </conditionalFormatting>
  <conditionalFormatting sqref="E70">
    <cfRule type="cellIs" dxfId="1" priority="38" operator="equal">
      <formula>$U$33</formula>
    </cfRule>
  </conditionalFormatting>
  <conditionalFormatting sqref="E71">
    <cfRule type="cellIs" dxfId="0" priority="37" operator="equal">
      <formula>$U$34</formula>
    </cfRule>
  </conditionalFormatting>
  <dataValidations count="43">
    <dataValidation type="list" allowBlank="1" showInputMessage="1" showErrorMessage="1" prompt="Richtung, in die die Solarmodule ausgerichtet sind. Bei anderer Ausrichtung Korrekturfaktor anpassen " sqref="B22">
      <formula1>"Süd-Ausrichtung, Ost-West-Ausrichtung"</formula1>
    </dataValidation>
    <dataValidation allowBlank="1" showInputMessage="1" showErrorMessage="1" prompt="Anteil der Fläche, der mit einer Überdachung bebaut werden kann/soll. " sqref="B15"/>
    <dataValidation type="list" showInputMessage="1" sqref="B24">
      <formula1>$U$10:$V$10</formula1>
    </dataValidation>
    <dataValidation type="list" allowBlank="1" showInputMessage="1" sqref="B21">
      <formula1>$U$9:$V$9</formula1>
    </dataValidation>
    <dataValidation type="list" showInputMessage="1" sqref="B20">
      <formula1>$U$8:$V$8</formula1>
    </dataValidation>
    <dataValidation type="list" showInputMessage="1" sqref="E21">
      <formula1>$U$19:$V$19</formula1>
    </dataValidation>
    <dataValidation type="list" showInputMessage="1" sqref="E22">
      <formula1>$U$20:$V$20</formula1>
    </dataValidation>
    <dataValidation type="list" showInputMessage="1" prompt="Wird für die Amortisationszeitberechnung genutzt" sqref="E23">
      <formula1>$U$21:$V$21</formula1>
    </dataValidation>
    <dataValidation type="list" showInputMessage="1" prompt="Üblicher Wert angegeben, wenn Sie genauere Werte (bspw. über ihre eigene Flotte) haben, passen Sie den Wert gerne an" sqref="E35">
      <formula1>$U$22:$V$22</formula1>
    </dataValidation>
    <dataValidation type="list" showInputMessage="1" sqref="E36">
      <formula1>$U$23:$V$23</formula1>
    </dataValidation>
    <dataValidation type="list" showInputMessage="1" prompt="Vorgeschlage auf Basis des Strombedarfs über Nacht. Ein Speicher ist gut dimensioniert, wenn er im Jahr min. 255 mal Be- und entladen wird " sqref="B41">
      <formula1>$K$25:$K$26</formula1>
    </dataValidation>
    <dataValidation type="list" allowBlank="1" showInputMessage="1" showErrorMessage="1" sqref="D29:F29">
      <formula1>"Eigenbedarf (inkl. E-Ladesäulen)+ Überschusseinspeisung, Volleinspeisung"</formula1>
    </dataValidation>
    <dataValidation type="list" showInputMessage="1" showErrorMessage="1" prompt="Der Faktor gibt die Möglichkeit verschiedene lokale Bedingungen, wie Verschattung, Abweichung zu einer optimalen Süd bzw. Ost/West-Ausrichtung, etc. in die Berechung mit einzubeziehen. Faktor 1 = 100% Ausbeute; Faktor 0,8 =80% Ausbeute etc. " sqref="B24">
      <formula1>$U$11:$U$18</formula1>
    </dataValidation>
    <dataValidation type="list" showInputMessage="1" prompt="Der angegebene Durchschnittspreis wurde aus insgesamt 13,  im Zeitraum 2020 bis 2025, realisierten Pilotprojekten abgeleitet" sqref="B49">
      <formula1>$U$24:$V$24</formula1>
    </dataValidation>
    <dataValidation allowBlank="1" showInputMessage="1" showErrorMessage="1" prompt="Das Trägersystem besteht je nach Projektanforderung aus Stahl, Aluminium oder Holz. Die Materialkosten liegen typischerweise bei:_x000a_Stahl: 80–130 €/m²_x000a_Aluminium: 100–160 €/m²_x000a_Holz (v. a. bei großen Systemen): 70–120 €/m²" sqref="B51"/>
    <dataValidation allowBlank="1" showInputMessage="1" showErrorMessage="1" prompt="Die Fundamentkosten hängen stark von der Bodenbeschaffenheit und Systemhöhe ab. Verwendet werden Punkt-, Streifen- oder Schraubfundamente. Der Kostenrahmen bewegt sich in der Regel zwischen 50 und 80 €/m²" sqref="B52"/>
    <dataValidation allowBlank="1" showInputMessage="1" showErrorMessage="1" prompt="Die Modulkosten werden auf m² umgerechnet, meist auf Basis einer Leistungsdichte von etwa 200-250W/m². Je nach Qualität und Marktlage ergeben sich Modulpreise zwischen 70 und 150 €/m²._x000a_" sqref="B53"/>
    <dataValidation allowBlank="1" showInputMessage="1" showErrorMessage="1" prompt="Um unvorhergesehene Ausgaben abzudecken, wird ein Blindkostenansatz berücksichtigt. Dessen Höhe hängt vom individuellen Projektrisiko ab und dient als Puffer in der Gesamtkalkulation._x000a_" sqref="B55"/>
    <dataValidation allowBlank="1" showInputMessage="1" showErrorMessage="1" prompt="Darunter fallen zusätzliche Komponenten wie Dachhaut, Entwässerungssysteme, Kabelschutz oder Planungsleistungen. Diese werden pauschal mit 10–30 €/m² angesetzt._x000a__x000a_" sqref="B54"/>
    <dataValidation type="list" showInputMessage="1" prompt=" Der Preis pro kWp PV-Leistung für den Wechselrichter wird je nach Systemgröße und Nutzungskonzept geschätzt: _x000a_100-200€/kWp bei Kleinanlagen (&lt; 30kWp)_x000a_ 80-120€/kWp bei Gewerbeanlagen (30-100kWp)_x000a_ 50-100€/kWP bei Großanlagen (&gt; 100kWp)" sqref="B62">
      <formula1>$K$35:$K$36</formula1>
    </dataValidation>
    <dataValidation type="list" showInputMessage="1" prompt="Vorgeschlagener Wert entspricht 15% des Installationskosten für die Überdachungskonstruktion " sqref="B56">
      <formula1>$K$31:$K$32</formula1>
    </dataValidation>
    <dataValidation type="list" showInputMessage="1" showErrorMessage="1" prompt="Abschätzungshilfe= ca. 7% der Anschaffungskosten" sqref="E78 B63">
      <formula1>$K$37:$K$38</formula1>
    </dataValidation>
    <dataValidation type="list" showInputMessage="1" prompt="üblicher Marktwert" sqref="E49">
      <formula1>$U$25:$V$25</formula1>
    </dataValidation>
    <dataValidation type="list" showInputMessage="1" prompt="üblicher Marktwert" sqref="E50">
      <formula1>$U$26:$V$26</formula1>
    </dataValidation>
    <dataValidation type="list" showInputMessage="1" prompt="üblicher Marktwert" sqref="E52">
      <formula1>$U$27:$V$27</formula1>
    </dataValidation>
    <dataValidation type="list" showInputMessage="1" prompt="üblicher Marktwert" sqref="E53">
      <formula1>$U$28:$V$28</formula1>
    </dataValidation>
    <dataValidation type="list" showInputMessage="1" prompt="Kostenübersicht (Preis pro kWh Speicherkapazität, netto):_x000a_bis 100 kWh: ca. 400–600 €/kWh _x000a_bis 500 kWh: ca. 350–450 €/kWh _x000a_bis 1 MWh: ca. 250–350 €/kWh_x000a_ ab 1 MWh: ca. 200–300 €/kWh _x000a_" sqref="E62">
      <formula1>$K$41:$L$41</formula1>
    </dataValidation>
    <dataValidation type="list" showInputMessage="1" prompt="Es wird 7% der Anschaffungskosten angenommen " sqref="E63">
      <formula1>$K$43:$L$43</formula1>
    </dataValidation>
    <dataValidation type="list" showInputMessage="1" sqref="B68">
      <formula1>$U$30:$V$30</formula1>
    </dataValidation>
    <dataValidation type="list" showInputMessage="1" prompt="Wird nur in der Rechnung angewendet, wenn eine Direktvermarktung mit mehr als 100.000 kWh stattfindet. (Dann ist die Messung jährlich verpflichtend)" sqref="B70">
      <formula1>$U$31:$V$31</formula1>
    </dataValidation>
    <dataValidation type="list" showInputMessage="1" prompt="üblicher Marktwert" sqref="B71">
      <formula1>$U$32:$V$32</formula1>
    </dataValidation>
    <dataValidation type="list" showInputMessage="1" prompt="üblicher Marktwert" sqref="E70">
      <formula1>$U$33:$V$33</formula1>
    </dataValidation>
    <dataValidation type="list" showInputMessage="1" prompt="üblicher Marktwert" sqref="E71">
      <formula1>$U$34:$V$34</formula1>
    </dataValidation>
    <dataValidation type="list" showInputMessage="1" prompt="Wenn keine eigene Angaben, wird 1% der Anschaffungskosten als jährliche Betriebskosten angenommen" sqref="B72">
      <formula1>$K$47:$L$47</formula1>
    </dataValidation>
    <dataValidation type="list" showInputMessage="1" showErrorMessage="1" prompt="Das Datum der Inbetriebnahme hat einen Einfluss auf die Einspeisevergütung bzw. Marktprämie nach dem EEG-Fördersatz" sqref="B16">
      <formula1>$K$12:$O$12</formula1>
    </dataValidation>
    <dataValidation showInputMessage="1" showErrorMessage="1" sqref="B77:B78"/>
    <dataValidation allowBlank="1" showInputMessage="1" showErrorMessage="1" prompt="Einspeisevergütung nach § 48 Abs. 1 EEG 2023 Sonstige Anlagen. Vergütungssätze werden alle sechs Monate um 1 % reduziert, dies ist mit eingerechnet (abhängig von angebenen Datum der Fertigstellung)" sqref="B80"/>
    <dataValidation allowBlank="1" showInputMessage="1" showErrorMessage="1" prompt="Marktprämie nach § 48 Abs. 1 EEG 2023 Sonstige Anlagen. Vergütungssätze werden alle sechs Monate um 1 % reduziert, dies ist mit eingerechnet (abhängig von angebenen Datum der Fertigstellung)" sqref="E80"/>
    <dataValidation type="list" allowBlank="1" showInputMessage="1" showErrorMessage="1" sqref="C82:F82">
      <formula1>"Einspeisevergütung bzw. Marktprämie, Direktvermarktung, PPA"</formula1>
    </dataValidation>
    <dataValidation type="list" showInputMessage="1" prompt="Der MCR beschreibt, wie viel Prozent des durchschnittlichen Marktstrompreises PV-Strom tatsächlich erzielt wird. Grund: In Zeiten hoher Sonneneinstrahlung sinken die Börsenpreise._x000a_" sqref="B84">
      <formula1>$U$37:$V$37</formula1>
    </dataValidation>
    <dataValidation showInputMessage="1" showErrorMessage="1" prompt="Der Faktor gibt die Möglichkeit verschiedene lokale Bedingungen, wie Verschattung, Abweichung zu einer optimalen Süd bzw. Ost/West-Ausrichtung, etc. in die Berechung mit einzubeziehen. 100% = volle Ausbeute; 80%= bspw. teilweise Verschattung " sqref="B23"/>
    <dataValidation allowBlank="1" showInputMessage="1" showErrorMessage="1" prompt="Bedenke Sie, ein Auto mit einer Battariekapazität von 55kWh benötigt etwas mehr als 2 Stunden für das Volladen an einer 22kW AC-Säule" sqref="E32"/>
    <dataValidation allowBlank="1" showInputMessage="1" showErrorMessage="1" prompt="Bedenke Sie, ein Auto mit einer Battariekapazität von 55kWh benötigt eine Stunden für das Volladen an einer 55kW DC-Säule" sqref="E34"/>
  </dataValidations>
  <hyperlinks>
    <hyperlink ref="Y30" r:id="rId1"/>
    <hyperlink ref="Y37" r:id="rId2"/>
    <hyperlink ref="D99:F99" r:id="rId3" display="Aktuelle Fördermittle finden Sie unter: https://www.foerderdatenbank.de/FDB/DE/Home/home.html"/>
  </hyperlinks>
  <pageMargins left="0.7" right="0.7" top="0.75" bottom="0.75" header="0.3" footer="0.3"/>
  <pageSetup paperSize="9"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028" r:id="rId7" name="Spinner 4">
              <controlPr locked="0" defaultSize="0" autoPict="0">
                <anchor moveWithCells="1" sizeWithCells="1">
                  <from>
                    <xdr:col>2</xdr:col>
                    <xdr:colOff>219075</xdr:colOff>
                    <xdr:row>32</xdr:row>
                    <xdr:rowOff>85725</xdr:rowOff>
                  </from>
                  <to>
                    <xdr:col>2</xdr:col>
                    <xdr:colOff>342900</xdr:colOff>
                    <xdr:row>32</xdr:row>
                    <xdr:rowOff>266700</xdr:rowOff>
                  </to>
                </anchor>
              </controlPr>
            </control>
          </mc:Choice>
        </mc:AlternateContent>
        <mc:AlternateContent xmlns:mc="http://schemas.openxmlformats.org/markup-compatibility/2006">
          <mc:Choice Requires="x14">
            <control shapeId="1029" r:id="rId8" name="Spinner 5">
              <controlPr locked="0" defaultSize="0" autoPict="0">
                <anchor moveWithCells="1" sizeWithCells="1">
                  <from>
                    <xdr:col>2</xdr:col>
                    <xdr:colOff>219075</xdr:colOff>
                    <xdr:row>33</xdr:row>
                    <xdr:rowOff>66675</xdr:rowOff>
                  </from>
                  <to>
                    <xdr:col>2</xdr:col>
                    <xdr:colOff>342900</xdr:colOff>
                    <xdr:row>33</xdr:row>
                    <xdr:rowOff>247650</xdr:rowOff>
                  </to>
                </anchor>
              </controlPr>
            </control>
          </mc:Choice>
        </mc:AlternateContent>
        <mc:AlternateContent xmlns:mc="http://schemas.openxmlformats.org/markup-compatibility/2006">
          <mc:Choice Requires="x14">
            <control shapeId="1030" r:id="rId9" name="Spinner 6">
              <controlPr locked="0" defaultSize="0" autoPict="0">
                <anchor moveWithCells="1" sizeWithCells="1">
                  <from>
                    <xdr:col>2</xdr:col>
                    <xdr:colOff>219075</xdr:colOff>
                    <xdr:row>34</xdr:row>
                    <xdr:rowOff>19050</xdr:rowOff>
                  </from>
                  <to>
                    <xdr:col>2</xdr:col>
                    <xdr:colOff>342900</xdr:colOff>
                    <xdr:row>35</xdr:row>
                    <xdr:rowOff>9525</xdr:rowOff>
                  </to>
                </anchor>
              </controlPr>
            </control>
          </mc:Choice>
        </mc:AlternateContent>
        <mc:AlternateContent xmlns:mc="http://schemas.openxmlformats.org/markup-compatibility/2006">
          <mc:Choice Requires="x14">
            <control shapeId="1031" r:id="rId10" name="Spinner 7">
              <controlPr locked="0" defaultSize="0" autoPict="0">
                <anchor moveWithCells="1" sizeWithCells="1">
                  <from>
                    <xdr:col>2</xdr:col>
                    <xdr:colOff>219075</xdr:colOff>
                    <xdr:row>35</xdr:row>
                    <xdr:rowOff>28575</xdr:rowOff>
                  </from>
                  <to>
                    <xdr:col>2</xdr:col>
                    <xdr:colOff>342900</xdr:colOff>
                    <xdr:row>36</xdr:row>
                    <xdr:rowOff>19050</xdr:rowOff>
                  </to>
                </anchor>
              </controlPr>
            </control>
          </mc:Choice>
        </mc:AlternateContent>
        <mc:AlternateContent xmlns:mc="http://schemas.openxmlformats.org/markup-compatibility/2006">
          <mc:Choice Requires="x14">
            <control shapeId="1043" r:id="rId11" name="Spinner 19">
              <controlPr locked="0" defaultSize="0" autoPict="0">
                <anchor moveWithCells="1" sizeWithCells="1">
                  <from>
                    <xdr:col>2</xdr:col>
                    <xdr:colOff>342900</xdr:colOff>
                    <xdr:row>91</xdr:row>
                    <xdr:rowOff>180975</xdr:rowOff>
                  </from>
                  <to>
                    <xdr:col>3</xdr:col>
                    <xdr:colOff>9525</xdr:colOff>
                    <xdr:row>92</xdr:row>
                    <xdr:rowOff>171450</xdr:rowOff>
                  </to>
                </anchor>
              </controlPr>
            </control>
          </mc:Choice>
        </mc:AlternateContent>
        <mc:AlternateContent xmlns:mc="http://schemas.openxmlformats.org/markup-compatibility/2006">
          <mc:Choice Requires="x14">
            <control shapeId="1044" r:id="rId12" name="Spinner 20">
              <controlPr locked="0" defaultSize="0" autoPict="0">
                <anchor moveWithCells="1" sizeWithCells="1">
                  <from>
                    <xdr:col>2</xdr:col>
                    <xdr:colOff>342900</xdr:colOff>
                    <xdr:row>93</xdr:row>
                    <xdr:rowOff>9525</xdr:rowOff>
                  </from>
                  <to>
                    <xdr:col>3</xdr:col>
                    <xdr:colOff>9525</xdr:colOff>
                    <xdr:row>93</xdr:row>
                    <xdr:rowOff>190500</xdr:rowOff>
                  </to>
                </anchor>
              </controlPr>
            </control>
          </mc:Choice>
        </mc:AlternateContent>
        <mc:AlternateContent xmlns:mc="http://schemas.openxmlformats.org/markup-compatibility/2006">
          <mc:Choice Requires="x14">
            <control shapeId="1049" r:id="rId13" name="Spinner 25">
              <controlPr locked="0" defaultSize="0" autoPict="0">
                <anchor moveWithCells="1" sizeWithCells="1">
                  <from>
                    <xdr:col>4</xdr:col>
                    <xdr:colOff>581025</xdr:colOff>
                    <xdr:row>109</xdr:row>
                    <xdr:rowOff>85725</xdr:rowOff>
                  </from>
                  <to>
                    <xdr:col>4</xdr:col>
                    <xdr:colOff>714375</xdr:colOff>
                    <xdr:row>109</xdr:row>
                    <xdr:rowOff>257175</xdr:rowOff>
                  </to>
                </anchor>
              </controlPr>
            </control>
          </mc:Choice>
        </mc:AlternateContent>
        <mc:AlternateContent xmlns:mc="http://schemas.openxmlformats.org/markup-compatibility/2006">
          <mc:Choice Requires="x14">
            <control shapeId="1054" r:id="rId14" name="Spinner 30">
              <controlPr locked="0" defaultSize="0" autoPict="0">
                <anchor moveWithCells="1" sizeWithCells="1">
                  <from>
                    <xdr:col>4</xdr:col>
                    <xdr:colOff>152400</xdr:colOff>
                    <xdr:row>101</xdr:row>
                    <xdr:rowOff>9525</xdr:rowOff>
                  </from>
                  <to>
                    <xdr:col>4</xdr:col>
                    <xdr:colOff>276225</xdr:colOff>
                    <xdr:row>102</xdr:row>
                    <xdr:rowOff>9525</xdr:rowOff>
                  </to>
                </anchor>
              </controlPr>
            </control>
          </mc:Choice>
        </mc:AlternateContent>
        <mc:AlternateContent xmlns:mc="http://schemas.openxmlformats.org/markup-compatibility/2006">
          <mc:Choice Requires="x14">
            <control shapeId="1061" r:id="rId15" name="Spinner 37">
              <controlPr locked="0" defaultSize="0" autoPict="0">
                <anchor moveWithCells="1" sizeWithCells="1">
                  <from>
                    <xdr:col>2</xdr:col>
                    <xdr:colOff>238125</xdr:colOff>
                    <xdr:row>22</xdr:row>
                    <xdr:rowOff>66675</xdr:rowOff>
                  </from>
                  <to>
                    <xdr:col>2</xdr:col>
                    <xdr:colOff>361950</xdr:colOff>
                    <xdr:row>22</xdr:row>
                    <xdr:rowOff>238125</xdr:rowOff>
                  </to>
                </anchor>
              </controlPr>
            </control>
          </mc:Choice>
        </mc:AlternateContent>
        <mc:AlternateContent xmlns:mc="http://schemas.openxmlformats.org/markup-compatibility/2006">
          <mc:Choice Requires="x14">
            <control shapeId="1063" r:id="rId16" name="Spinner 39">
              <controlPr locked="0" defaultSize="0" autoPict="0">
                <anchor moveWithCells="1" sizeWithCells="1">
                  <from>
                    <xdr:col>2</xdr:col>
                    <xdr:colOff>257175</xdr:colOff>
                    <xdr:row>14</xdr:row>
                    <xdr:rowOff>9525</xdr:rowOff>
                  </from>
                  <to>
                    <xdr:col>2</xdr:col>
                    <xdr:colOff>390525</xdr:colOff>
                    <xdr:row>15</xdr:row>
                    <xdr:rowOff>0</xdr:rowOff>
                  </to>
                </anchor>
              </controlPr>
            </control>
          </mc:Choice>
        </mc:AlternateContent>
        <mc:AlternateContent xmlns:mc="http://schemas.openxmlformats.org/markup-compatibility/2006">
          <mc:Choice Requires="x14">
            <control shapeId="1070" r:id="rId17" name="Spinner 46">
              <controlPr locked="0" defaultSize="0" autoPict="0">
                <anchor moveWithCells="1" sizeWithCells="1">
                  <from>
                    <xdr:col>4</xdr:col>
                    <xdr:colOff>314325</xdr:colOff>
                    <xdr:row>30</xdr:row>
                    <xdr:rowOff>66675</xdr:rowOff>
                  </from>
                  <to>
                    <xdr:col>4</xdr:col>
                    <xdr:colOff>447675</xdr:colOff>
                    <xdr:row>30</xdr:row>
                    <xdr:rowOff>247650</xdr:rowOff>
                  </to>
                </anchor>
              </controlPr>
            </control>
          </mc:Choice>
        </mc:AlternateContent>
        <mc:AlternateContent xmlns:mc="http://schemas.openxmlformats.org/markup-compatibility/2006">
          <mc:Choice Requires="x14">
            <control shapeId="1071" r:id="rId18" name="Spinner 47">
              <controlPr locked="0" defaultSize="0" autoPict="0">
                <anchor moveWithCells="1" sizeWithCells="1">
                  <from>
                    <xdr:col>4</xdr:col>
                    <xdr:colOff>314325</xdr:colOff>
                    <xdr:row>31</xdr:row>
                    <xdr:rowOff>85725</xdr:rowOff>
                  </from>
                  <to>
                    <xdr:col>4</xdr:col>
                    <xdr:colOff>447675</xdr:colOff>
                    <xdr:row>31</xdr:row>
                    <xdr:rowOff>257175</xdr:rowOff>
                  </to>
                </anchor>
              </controlPr>
            </control>
          </mc:Choice>
        </mc:AlternateContent>
        <mc:AlternateContent xmlns:mc="http://schemas.openxmlformats.org/markup-compatibility/2006">
          <mc:Choice Requires="x14">
            <control shapeId="1072" r:id="rId19" name="Spinner 48">
              <controlPr locked="0" defaultSize="0" autoPict="0">
                <anchor moveWithCells="1" sizeWithCells="1">
                  <from>
                    <xdr:col>4</xdr:col>
                    <xdr:colOff>314325</xdr:colOff>
                    <xdr:row>33</xdr:row>
                    <xdr:rowOff>66675</xdr:rowOff>
                  </from>
                  <to>
                    <xdr:col>4</xdr:col>
                    <xdr:colOff>447675</xdr:colOff>
                    <xdr:row>33</xdr:row>
                    <xdr:rowOff>247650</xdr:rowOff>
                  </to>
                </anchor>
              </controlPr>
            </control>
          </mc:Choice>
        </mc:AlternateContent>
        <mc:AlternateContent xmlns:mc="http://schemas.openxmlformats.org/markup-compatibility/2006">
          <mc:Choice Requires="x14">
            <control shapeId="1073" r:id="rId20" name="Spinner 49">
              <controlPr locked="0" defaultSize="0" autoPict="0">
                <anchor moveWithCells="1" sizeWithCells="1">
                  <from>
                    <xdr:col>4</xdr:col>
                    <xdr:colOff>314325</xdr:colOff>
                    <xdr:row>32</xdr:row>
                    <xdr:rowOff>66675</xdr:rowOff>
                  </from>
                  <to>
                    <xdr:col>4</xdr:col>
                    <xdr:colOff>447675</xdr:colOff>
                    <xdr:row>32</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Matthies, Ben Colin</cp:lastModifiedBy>
  <cp:lastPrinted>2025-11-26T14:49:16Z</cp:lastPrinted>
  <dcterms:created xsi:type="dcterms:W3CDTF">2015-06-05T18:19:34Z</dcterms:created>
  <dcterms:modified xsi:type="dcterms:W3CDTF">2026-04-08T11:43:37Z</dcterms:modified>
</cp:coreProperties>
</file>